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19" activeTab="39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5" sheetId="29" r:id="rId25"/>
    <sheet name="Item26" sheetId="30" r:id="rId26"/>
    <sheet name="Item27" sheetId="31" r:id="rId27"/>
    <sheet name="Item28" sheetId="32" r:id="rId28"/>
    <sheet name="Item29" sheetId="33" r:id="rId29"/>
    <sheet name="Item30" sheetId="34" r:id="rId30"/>
    <sheet name="Item31" sheetId="35" r:id="rId31"/>
    <sheet name="Item32" sheetId="36" r:id="rId32"/>
    <sheet name="Item33" sheetId="37" r:id="rId33"/>
    <sheet name="Item34" sheetId="38" r:id="rId34"/>
    <sheet name="Item35" sheetId="39" r:id="rId35"/>
    <sheet name="Item36" sheetId="40" r:id="rId36"/>
    <sheet name="Item37" sheetId="42" r:id="rId37"/>
    <sheet name="Item40" sheetId="43" state="hidden" r:id="rId38"/>
    <sheet name="Item41" sheetId="44" state="hidden" r:id="rId39"/>
    <sheet name="total" sheetId="23" r:id="rId40"/>
  </sheets>
  <definedNames>
    <definedName name="_xlnm.Print_Area" localSheetId="39">total!$A$1:$I$48</definedName>
    <definedName name="_xlnm.Print_Titles" localSheetId="39">total!$1:$2</definedName>
  </definedNames>
  <calcPr calcId="145621"/>
</workbook>
</file>

<file path=xl/calcChain.xml><?xml version="1.0" encoding="utf-8"?>
<calcChain xmlns="http://schemas.openxmlformats.org/spreadsheetml/2006/main">
  <c r="H44" i="23" l="1"/>
  <c r="B36" i="23" l="1"/>
  <c r="D3" i="11" l="1"/>
  <c r="D3" i="40"/>
  <c r="D3" i="5"/>
  <c r="D3" i="39"/>
  <c r="D3" i="38"/>
  <c r="D3" i="1"/>
  <c r="D3" i="25"/>
  <c r="D3" i="14"/>
  <c r="D3" i="9"/>
  <c r="D3" i="4" l="1"/>
  <c r="C31" i="23"/>
  <c r="D31" i="23"/>
  <c r="G31" i="23"/>
  <c r="E31" i="23" s="1"/>
  <c r="C32" i="23"/>
  <c r="D32" i="23"/>
  <c r="G32" i="23"/>
  <c r="E32" i="23" s="1"/>
  <c r="C33" i="23"/>
  <c r="D33" i="23"/>
  <c r="G33" i="23"/>
  <c r="E33" i="23" s="1"/>
  <c r="C34" i="23"/>
  <c r="D34" i="23"/>
  <c r="G34" i="23"/>
  <c r="E34" i="23" s="1"/>
  <c r="C35" i="23"/>
  <c r="D35" i="23"/>
  <c r="G35" i="23"/>
  <c r="E35" i="23" s="1"/>
  <c r="C36" i="23"/>
  <c r="D36" i="23"/>
  <c r="G36" i="23"/>
  <c r="E36" i="23" s="1"/>
  <c r="C37" i="23"/>
  <c r="D37" i="23"/>
  <c r="G37" i="23"/>
  <c r="E37" i="23" s="1"/>
  <c r="C38" i="23"/>
  <c r="D38" i="23"/>
  <c r="G38" i="23"/>
  <c r="E38" i="23" s="1"/>
  <c r="C39" i="23"/>
  <c r="D39" i="23"/>
  <c r="G39" i="23"/>
  <c r="E39" i="23" s="1"/>
  <c r="B39" i="23"/>
  <c r="B38" i="23"/>
  <c r="B37" i="23"/>
  <c r="B35" i="23"/>
  <c r="B34" i="23"/>
  <c r="B33" i="23"/>
  <c r="B32" i="23"/>
  <c r="B31" i="23"/>
  <c r="C30" i="23"/>
  <c r="D30" i="23"/>
  <c r="G30" i="23"/>
  <c r="E30" i="23" s="1"/>
  <c r="G29" i="23"/>
  <c r="E29" i="23" s="1"/>
  <c r="D29" i="23"/>
  <c r="C29" i="23"/>
  <c r="B30" i="23"/>
  <c r="B29" i="23"/>
  <c r="F20" i="44"/>
  <c r="D20" i="44"/>
  <c r="B20" i="44"/>
  <c r="I17" i="44"/>
  <c r="I16" i="44"/>
  <c r="I15" i="44"/>
  <c r="I14" i="44"/>
  <c r="I13" i="44"/>
  <c r="I12" i="44"/>
  <c r="F3" i="44"/>
  <c r="H20" i="44" s="1"/>
  <c r="G20" i="44" s="1"/>
  <c r="F20" i="43"/>
  <c r="D20" i="43"/>
  <c r="B20" i="43"/>
  <c r="A20" i="43" s="1"/>
  <c r="C20" i="43" s="1"/>
  <c r="I17" i="43"/>
  <c r="I16" i="43"/>
  <c r="I15" i="43"/>
  <c r="F3" i="43"/>
  <c r="H20" i="43" s="1"/>
  <c r="G20" i="43" s="1"/>
  <c r="F20" i="42"/>
  <c r="D20" i="42"/>
  <c r="B20" i="42"/>
  <c r="A20" i="42" s="1"/>
  <c r="I17" i="42"/>
  <c r="I16" i="42"/>
  <c r="I15" i="42"/>
  <c r="I14" i="42"/>
  <c r="I13" i="42"/>
  <c r="I12" i="42"/>
  <c r="I11" i="42"/>
  <c r="I10" i="42"/>
  <c r="I9" i="42"/>
  <c r="I8" i="42"/>
  <c r="F3" i="42"/>
  <c r="H20" i="42" s="1"/>
  <c r="G20" i="42" s="1"/>
  <c r="F20" i="40"/>
  <c r="D20" i="40"/>
  <c r="B20" i="40"/>
  <c r="A20" i="40" s="1"/>
  <c r="F3" i="40"/>
  <c r="H20" i="40" s="1"/>
  <c r="G20" i="40" s="1"/>
  <c r="F20" i="39"/>
  <c r="D20" i="39"/>
  <c r="B20" i="39"/>
  <c r="I17" i="39"/>
  <c r="I16" i="39"/>
  <c r="I15" i="39"/>
  <c r="I14" i="39"/>
  <c r="I13" i="39"/>
  <c r="I12" i="39"/>
  <c r="I11" i="39"/>
  <c r="I10" i="39"/>
  <c r="I9" i="39"/>
  <c r="I8" i="39"/>
  <c r="F3" i="39"/>
  <c r="H20" i="39" s="1"/>
  <c r="G20" i="39" s="1"/>
  <c r="F20" i="38"/>
  <c r="D20" i="38"/>
  <c r="B20" i="38"/>
  <c r="I17" i="38"/>
  <c r="I16" i="38"/>
  <c r="I15" i="38"/>
  <c r="I14" i="38"/>
  <c r="I11" i="38"/>
  <c r="I8" i="38"/>
  <c r="F3" i="38"/>
  <c r="H20" i="38" s="1"/>
  <c r="G20" i="38" s="1"/>
  <c r="F20" i="37"/>
  <c r="D20" i="37"/>
  <c r="B20" i="37"/>
  <c r="I17" i="37"/>
  <c r="I16" i="37"/>
  <c r="I15" i="37"/>
  <c r="I14" i="37"/>
  <c r="I13" i="37"/>
  <c r="I12" i="37"/>
  <c r="I11" i="37"/>
  <c r="I10" i="37"/>
  <c r="I9" i="37"/>
  <c r="I8" i="37"/>
  <c r="F3" i="37"/>
  <c r="H20" i="37" s="1"/>
  <c r="G20" i="37" s="1"/>
  <c r="F20" i="36"/>
  <c r="D20" i="36"/>
  <c r="B20" i="36"/>
  <c r="A20" i="36" s="1"/>
  <c r="I17" i="36"/>
  <c r="I16" i="36"/>
  <c r="I15" i="36"/>
  <c r="I14" i="36"/>
  <c r="I13" i="36"/>
  <c r="I12" i="36"/>
  <c r="I11" i="36"/>
  <c r="I10" i="36"/>
  <c r="I9" i="36"/>
  <c r="I8" i="36"/>
  <c r="F3" i="36"/>
  <c r="H20" i="36" s="1"/>
  <c r="G20" i="36" s="1"/>
  <c r="F20" i="35"/>
  <c r="D20" i="35"/>
  <c r="B20" i="35"/>
  <c r="A20" i="35" s="1"/>
  <c r="I17" i="35"/>
  <c r="I16" i="35"/>
  <c r="I15" i="35"/>
  <c r="I14" i="35"/>
  <c r="F3" i="35"/>
  <c r="H20" i="35" s="1"/>
  <c r="G20" i="35" s="1"/>
  <c r="F20" i="34"/>
  <c r="D20" i="34"/>
  <c r="B20" i="34"/>
  <c r="A20" i="34" s="1"/>
  <c r="I17" i="34"/>
  <c r="I16" i="34"/>
  <c r="I15" i="34"/>
  <c r="I14" i="34"/>
  <c r="I13" i="34"/>
  <c r="I12" i="34"/>
  <c r="I11" i="34"/>
  <c r="F3" i="34"/>
  <c r="H20" i="34" s="1"/>
  <c r="G20" i="34" s="1"/>
  <c r="F20" i="33"/>
  <c r="D20" i="33"/>
  <c r="B20" i="33"/>
  <c r="A20" i="33" s="1"/>
  <c r="F3" i="33"/>
  <c r="H20" i="33" s="1"/>
  <c r="G20" i="33" s="1"/>
  <c r="F20" i="32"/>
  <c r="D20" i="32"/>
  <c r="B20" i="32"/>
  <c r="A20" i="32" s="1"/>
  <c r="I17" i="32"/>
  <c r="I16" i="32"/>
  <c r="I15" i="32"/>
  <c r="I14" i="32"/>
  <c r="I13" i="32"/>
  <c r="I12" i="32"/>
  <c r="I11" i="32"/>
  <c r="I10" i="32"/>
  <c r="I9" i="32"/>
  <c r="I8" i="32"/>
  <c r="F3" i="32"/>
  <c r="H20" i="32" s="1"/>
  <c r="G20" i="32" s="1"/>
  <c r="F20" i="31"/>
  <c r="D20" i="31"/>
  <c r="B20" i="31"/>
  <c r="A20" i="31" s="1"/>
  <c r="C20" i="31" s="1"/>
  <c r="I10" i="31" s="1"/>
  <c r="I17" i="31"/>
  <c r="I16" i="31"/>
  <c r="I15" i="31"/>
  <c r="I14" i="31"/>
  <c r="I13" i="31"/>
  <c r="F3" i="31"/>
  <c r="H20" i="31" s="1"/>
  <c r="G20" i="31" s="1"/>
  <c r="C20" i="42" l="1"/>
  <c r="I7" i="42" s="1"/>
  <c r="C20" i="36"/>
  <c r="I3" i="36" s="1"/>
  <c r="C20" i="35"/>
  <c r="I13" i="35" s="1"/>
  <c r="C20" i="40"/>
  <c r="A20" i="39"/>
  <c r="C20" i="39" s="1"/>
  <c r="I5" i="39" s="1"/>
  <c r="C20" i="34"/>
  <c r="I6" i="34" s="1"/>
  <c r="C20" i="32"/>
  <c r="I6" i="32" s="1"/>
  <c r="I12" i="31"/>
  <c r="I11" i="31"/>
  <c r="A20" i="38"/>
  <c r="C20" i="38" s="1"/>
  <c r="C20" i="33"/>
  <c r="I17" i="33" s="1"/>
  <c r="I7" i="32"/>
  <c r="A20" i="37"/>
  <c r="C20" i="37" s="1"/>
  <c r="I9" i="34"/>
  <c r="I8" i="34"/>
  <c r="I7" i="34"/>
  <c r="I10" i="34"/>
  <c r="I4" i="42"/>
  <c r="I4" i="31"/>
  <c r="I9" i="31"/>
  <c r="I3" i="31"/>
  <c r="I7" i="31"/>
  <c r="I6" i="31"/>
  <c r="I5" i="31"/>
  <c r="I8" i="31"/>
  <c r="I12" i="43"/>
  <c r="I6" i="43"/>
  <c r="I11" i="43"/>
  <c r="I5" i="43"/>
  <c r="I10" i="43"/>
  <c r="I4" i="43"/>
  <c r="E20" i="43" s="1"/>
  <c r="I9" i="43"/>
  <c r="I3" i="43"/>
  <c r="I14" i="43"/>
  <c r="I8" i="43"/>
  <c r="I13" i="43"/>
  <c r="I7" i="43"/>
  <c r="I10" i="38"/>
  <c r="I7" i="39"/>
  <c r="I12" i="38"/>
  <c r="A20" i="44"/>
  <c r="C20" i="44" s="1"/>
  <c r="I13" i="38"/>
  <c r="I5" i="42" l="1"/>
  <c r="E20" i="42"/>
  <c r="H22" i="42" s="1"/>
  <c r="H23" i="42" s="1"/>
  <c r="I6" i="42"/>
  <c r="I3" i="42"/>
  <c r="I7" i="36"/>
  <c r="I6" i="36"/>
  <c r="I5" i="36"/>
  <c r="I4" i="36"/>
  <c r="I5" i="35"/>
  <c r="I12" i="35"/>
  <c r="I11" i="35"/>
  <c r="I10" i="35"/>
  <c r="I8" i="35"/>
  <c r="I9" i="35"/>
  <c r="I3" i="35"/>
  <c r="I7" i="35"/>
  <c r="I6" i="35"/>
  <c r="I4" i="35"/>
  <c r="I16" i="40"/>
  <c r="I17" i="40"/>
  <c r="I14" i="40"/>
  <c r="I15" i="40"/>
  <c r="I12" i="40"/>
  <c r="I13" i="40"/>
  <c r="I3" i="40"/>
  <c r="I11" i="40"/>
  <c r="I10" i="40"/>
  <c r="I9" i="40"/>
  <c r="I8" i="40"/>
  <c r="I4" i="40"/>
  <c r="I7" i="40"/>
  <c r="E20" i="40"/>
  <c r="E3" i="40" s="1"/>
  <c r="H38" i="23" s="1"/>
  <c r="I38" i="23" s="1"/>
  <c r="I5" i="40"/>
  <c r="I6" i="40"/>
  <c r="I6" i="39"/>
  <c r="I4" i="39"/>
  <c r="I3" i="39"/>
  <c r="I5" i="34"/>
  <c r="I3" i="34"/>
  <c r="I4" i="34"/>
  <c r="I6" i="33"/>
  <c r="I15" i="33"/>
  <c r="I16" i="33"/>
  <c r="I13" i="33"/>
  <c r="I14" i="33"/>
  <c r="I11" i="33"/>
  <c r="I12" i="33"/>
  <c r="I3" i="33"/>
  <c r="I10" i="33"/>
  <c r="I9" i="33"/>
  <c r="I8" i="33"/>
  <c r="I4" i="33"/>
  <c r="I7" i="33"/>
  <c r="I5" i="33"/>
  <c r="I5" i="32"/>
  <c r="I3" i="32"/>
  <c r="I4" i="32"/>
  <c r="E20" i="31"/>
  <c r="H22" i="31" s="1"/>
  <c r="H23" i="31" s="1"/>
  <c r="I9" i="38"/>
  <c r="I6" i="38"/>
  <c r="I7" i="38"/>
  <c r="I3" i="38"/>
  <c r="I5" i="38"/>
  <c r="I4" i="38"/>
  <c r="E20" i="38" s="1"/>
  <c r="E3" i="38" s="1"/>
  <c r="H36" i="23" s="1"/>
  <c r="I36" i="23" s="1"/>
  <c r="I6" i="37"/>
  <c r="I7" i="37"/>
  <c r="I3" i="37"/>
  <c r="I4" i="37"/>
  <c r="I5" i="37"/>
  <c r="E3" i="43"/>
  <c r="H22" i="43"/>
  <c r="H23" i="43" s="1"/>
  <c r="I9" i="44"/>
  <c r="I3" i="44"/>
  <c r="I8" i="44"/>
  <c r="I7" i="44"/>
  <c r="I6" i="44"/>
  <c r="E20" i="44" s="1"/>
  <c r="I11" i="44"/>
  <c r="I5" i="44"/>
  <c r="I10" i="44"/>
  <c r="I4" i="44"/>
  <c r="H22" i="40"/>
  <c r="H23" i="40" s="1"/>
  <c r="C23" i="23"/>
  <c r="D23" i="23"/>
  <c r="G23" i="23"/>
  <c r="E23" i="23" s="1"/>
  <c r="C24" i="23"/>
  <c r="D24" i="23"/>
  <c r="G24" i="23"/>
  <c r="E24" i="23" s="1"/>
  <c r="C25" i="23"/>
  <c r="D25" i="23"/>
  <c r="G25" i="23"/>
  <c r="E25" i="23" s="1"/>
  <c r="C26" i="23"/>
  <c r="D26" i="23"/>
  <c r="G26" i="23"/>
  <c r="E26" i="23" s="1"/>
  <c r="C27" i="23"/>
  <c r="D27" i="23"/>
  <c r="G27" i="23"/>
  <c r="E27" i="23" s="1"/>
  <c r="C28" i="23"/>
  <c r="D28" i="23"/>
  <c r="G28" i="23"/>
  <c r="E28" i="23" s="1"/>
  <c r="B28" i="23"/>
  <c r="B27" i="23"/>
  <c r="B26" i="23"/>
  <c r="B25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E20" i="37" l="1"/>
  <c r="E3" i="37" s="1"/>
  <c r="H35" i="23" s="1"/>
  <c r="I35" i="23" s="1"/>
  <c r="E3" i="42"/>
  <c r="H39" i="23" s="1"/>
  <c r="I39" i="23" s="1"/>
  <c r="E20" i="39"/>
  <c r="H22" i="39" s="1"/>
  <c r="H23" i="39" s="1"/>
  <c r="E20" i="36"/>
  <c r="H22" i="36" s="1"/>
  <c r="H23" i="36" s="1"/>
  <c r="E20" i="34"/>
  <c r="E3" i="34" s="1"/>
  <c r="H32" i="23" s="1"/>
  <c r="I32" i="23" s="1"/>
  <c r="E20" i="35"/>
  <c r="E20" i="33"/>
  <c r="H22" i="33" s="1"/>
  <c r="H23" i="33" s="1"/>
  <c r="E20" i="32"/>
  <c r="E3" i="31"/>
  <c r="H29" i="23" s="1"/>
  <c r="I29" i="23" s="1"/>
  <c r="C20" i="26"/>
  <c r="I8" i="26" s="1"/>
  <c r="H22" i="38"/>
  <c r="H23" i="38" s="1"/>
  <c r="H22" i="44"/>
  <c r="H23" i="44" s="1"/>
  <c r="E3" i="44"/>
  <c r="C20" i="24"/>
  <c r="I8" i="24" s="1"/>
  <c r="I15" i="24"/>
  <c r="I14" i="24"/>
  <c r="I13" i="24"/>
  <c r="I16" i="24"/>
  <c r="I17" i="24"/>
  <c r="C20" i="25"/>
  <c r="C20" i="27"/>
  <c r="C20" i="29"/>
  <c r="A20" i="30"/>
  <c r="C20" i="30" s="1"/>
  <c r="C4" i="23"/>
  <c r="D4" i="23"/>
  <c r="G4" i="23"/>
  <c r="E4" i="23" s="1"/>
  <c r="C5" i="23"/>
  <c r="D5" i="23"/>
  <c r="G5" i="23"/>
  <c r="E5" i="23" s="1"/>
  <c r="C6" i="23"/>
  <c r="D6" i="23"/>
  <c r="G6" i="23"/>
  <c r="E6" i="23" s="1"/>
  <c r="C7" i="23"/>
  <c r="D7" i="23"/>
  <c r="G7" i="23"/>
  <c r="E7" i="23" s="1"/>
  <c r="C8" i="23"/>
  <c r="D8" i="23"/>
  <c r="G8" i="23"/>
  <c r="E8" i="23" s="1"/>
  <c r="C9" i="23"/>
  <c r="D9" i="23"/>
  <c r="G9" i="23"/>
  <c r="E9" i="23" s="1"/>
  <c r="C10" i="23"/>
  <c r="D10" i="23"/>
  <c r="G10" i="23"/>
  <c r="E10" i="23" s="1"/>
  <c r="C11" i="23"/>
  <c r="D11" i="23"/>
  <c r="G11" i="23"/>
  <c r="E11" i="23" s="1"/>
  <c r="C12" i="23"/>
  <c r="D12" i="23"/>
  <c r="G12" i="23"/>
  <c r="E12" i="23" s="1"/>
  <c r="C13" i="23"/>
  <c r="D13" i="23"/>
  <c r="G13" i="23"/>
  <c r="E13" i="23" s="1"/>
  <c r="C14" i="23"/>
  <c r="D14" i="23"/>
  <c r="G14" i="23"/>
  <c r="E14" i="23" s="1"/>
  <c r="C15" i="23"/>
  <c r="D15" i="23"/>
  <c r="G15" i="23"/>
  <c r="E15" i="23" s="1"/>
  <c r="C16" i="23"/>
  <c r="D16" i="23"/>
  <c r="G16" i="23"/>
  <c r="E16" i="23" s="1"/>
  <c r="C17" i="23"/>
  <c r="D17" i="23"/>
  <c r="G17" i="23"/>
  <c r="E17" i="23" s="1"/>
  <c r="C18" i="23"/>
  <c r="D18" i="23"/>
  <c r="G18" i="23"/>
  <c r="E18" i="23" s="1"/>
  <c r="C19" i="23"/>
  <c r="D19" i="23"/>
  <c r="G19" i="23"/>
  <c r="E19" i="23" s="1"/>
  <c r="C20" i="23"/>
  <c r="D20" i="23"/>
  <c r="G20" i="23"/>
  <c r="E20" i="23" s="1"/>
  <c r="C21" i="23"/>
  <c r="D21" i="23"/>
  <c r="G21" i="23"/>
  <c r="E21" i="23" s="1"/>
  <c r="C22" i="23"/>
  <c r="D22" i="23"/>
  <c r="G22" i="23"/>
  <c r="E22" i="23" s="1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G3" i="23"/>
  <c r="E3" i="23" s="1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H22" i="37" l="1"/>
  <c r="H23" i="37" s="1"/>
  <c r="E3" i="39"/>
  <c r="H37" i="23" s="1"/>
  <c r="I37" i="23" s="1"/>
  <c r="E3" i="36"/>
  <c r="H34" i="23" s="1"/>
  <c r="I34" i="23" s="1"/>
  <c r="C20" i="14"/>
  <c r="I3" i="14" s="1"/>
  <c r="H22" i="34"/>
  <c r="H23" i="34" s="1"/>
  <c r="E3" i="35"/>
  <c r="H33" i="23" s="1"/>
  <c r="I33" i="23" s="1"/>
  <c r="H22" i="35"/>
  <c r="H23" i="35" s="1"/>
  <c r="E3" i="33"/>
  <c r="H31" i="23" s="1"/>
  <c r="I31" i="23" s="1"/>
  <c r="E3" i="32"/>
  <c r="H30" i="23" s="1"/>
  <c r="I30" i="23" s="1"/>
  <c r="H22" i="32"/>
  <c r="H23" i="32" s="1"/>
  <c r="I17" i="26"/>
  <c r="I16" i="26"/>
  <c r="I14" i="26"/>
  <c r="I3" i="26"/>
  <c r="I15" i="26"/>
  <c r="I5" i="26"/>
  <c r="I4" i="26"/>
  <c r="I10" i="26"/>
  <c r="I6" i="26"/>
  <c r="I9" i="26"/>
  <c r="I12" i="26"/>
  <c r="I7" i="26"/>
  <c r="I13" i="26"/>
  <c r="I11" i="26"/>
  <c r="I12" i="24"/>
  <c r="I3" i="24"/>
  <c r="I7" i="24"/>
  <c r="I11" i="24"/>
  <c r="I4" i="24"/>
  <c r="I10" i="24"/>
  <c r="I6" i="24"/>
  <c r="C20" i="16"/>
  <c r="I9" i="16" s="1"/>
  <c r="C20" i="5"/>
  <c r="I5" i="24"/>
  <c r="I9" i="24"/>
  <c r="C20" i="22"/>
  <c r="I3" i="22" s="1"/>
  <c r="C20" i="20"/>
  <c r="I5" i="20" s="1"/>
  <c r="C20" i="18"/>
  <c r="I6" i="18" s="1"/>
  <c r="C20" i="12"/>
  <c r="I9" i="12" s="1"/>
  <c r="C20" i="9"/>
  <c r="I9" i="9" s="1"/>
  <c r="C20" i="6"/>
  <c r="I8" i="6" s="1"/>
  <c r="A20" i="7"/>
  <c r="C20" i="7" s="1"/>
  <c r="I16" i="7" s="1"/>
  <c r="A20" i="8"/>
  <c r="C20" i="8" s="1"/>
  <c r="I4" i="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7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13" i="16"/>
  <c r="I12" i="16"/>
  <c r="I17" i="16"/>
  <c r="I11" i="16"/>
  <c r="I10" i="16"/>
  <c r="I15" i="14"/>
  <c r="I9" i="14"/>
  <c r="I16" i="14"/>
  <c r="I14" i="14"/>
  <c r="I8" i="14"/>
  <c r="I10" i="14"/>
  <c r="I13" i="14"/>
  <c r="I12" i="14"/>
  <c r="I17" i="14"/>
  <c r="I11" i="14"/>
  <c r="I15" i="18"/>
  <c r="I9" i="18"/>
  <c r="I3" i="18"/>
  <c r="I14" i="18"/>
  <c r="I8" i="18"/>
  <c r="I10" i="18"/>
  <c r="I13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13" i="9"/>
  <c r="I15" i="9"/>
  <c r="I17" i="9"/>
  <c r="I15" i="6"/>
  <c r="I14" i="6"/>
  <c r="I17" i="6"/>
  <c r="I16" i="6"/>
  <c r="I12" i="6"/>
  <c r="I12" i="5"/>
  <c r="I17" i="5"/>
  <c r="I11" i="5"/>
  <c r="I16" i="5"/>
  <c r="I8" i="5"/>
  <c r="I13" i="5"/>
  <c r="I15" i="5"/>
  <c r="I14" i="5"/>
  <c r="A20" i="4"/>
  <c r="C20" i="4" s="1"/>
  <c r="C20" i="1"/>
  <c r="I8" i="16" l="1"/>
  <c r="I7" i="14"/>
  <c r="I6" i="14"/>
  <c r="I4" i="14"/>
  <c r="I5" i="14"/>
  <c r="I6" i="5"/>
  <c r="I4" i="5"/>
  <c r="E20" i="27"/>
  <c r="E3" i="27" s="1"/>
  <c r="H26" i="23" s="1"/>
  <c r="I26" i="23" s="1"/>
  <c r="E20" i="26"/>
  <c r="H22" i="26" s="1"/>
  <c r="H23" i="26" s="1"/>
  <c r="I12" i="20"/>
  <c r="I11" i="20"/>
  <c r="I7" i="18"/>
  <c r="I10" i="9"/>
  <c r="I11" i="9"/>
  <c r="I12" i="9"/>
  <c r="I8" i="9"/>
  <c r="I5" i="9"/>
  <c r="I6" i="9"/>
  <c r="I15" i="7"/>
  <c r="I17" i="7"/>
  <c r="I6" i="6"/>
  <c r="I5" i="6"/>
  <c r="I3" i="6"/>
  <c r="I6" i="16"/>
  <c r="E20" i="14"/>
  <c r="E3" i="14" s="1"/>
  <c r="H14" i="23" s="1"/>
  <c r="I14" i="23" s="1"/>
  <c r="I3" i="9"/>
  <c r="I7" i="9"/>
  <c r="I7" i="6"/>
  <c r="E20" i="24"/>
  <c r="E3" i="24" s="1"/>
  <c r="H23" i="23" s="1"/>
  <c r="I23" i="23" s="1"/>
  <c r="I8" i="20"/>
  <c r="I3" i="20"/>
  <c r="I7" i="20"/>
  <c r="I6" i="20"/>
  <c r="I4" i="20"/>
  <c r="I10" i="20"/>
  <c r="I9" i="20"/>
  <c r="I4" i="18"/>
  <c r="E20" i="18" s="1"/>
  <c r="H22" i="18" s="1"/>
  <c r="H23" i="18" s="1"/>
  <c r="E20" i="16"/>
  <c r="H22" i="16" s="1"/>
  <c r="H23" i="16" s="1"/>
  <c r="I4" i="16"/>
  <c r="I3" i="16"/>
  <c r="I5" i="16"/>
  <c r="I7" i="16"/>
  <c r="I10" i="12"/>
  <c r="I12" i="12"/>
  <c r="I4" i="12"/>
  <c r="I8" i="12"/>
  <c r="I6" i="12"/>
  <c r="I7" i="12"/>
  <c r="I3" i="12"/>
  <c r="I5" i="12"/>
  <c r="I6" i="8"/>
  <c r="I5" i="8"/>
  <c r="E20" i="8" s="1"/>
  <c r="H22" i="8" s="1"/>
  <c r="H23" i="8" s="1"/>
  <c r="I3" i="8"/>
  <c r="I11" i="6"/>
  <c r="I9" i="6"/>
  <c r="I4" i="6"/>
  <c r="I13" i="6"/>
  <c r="I10" i="6"/>
  <c r="I3" i="5"/>
  <c r="I10" i="5"/>
  <c r="I9" i="5"/>
  <c r="I7" i="5"/>
  <c r="I5" i="5"/>
  <c r="E20" i="30"/>
  <c r="E3" i="30" s="1"/>
  <c r="H28" i="23" s="1"/>
  <c r="I28" i="23" s="1"/>
  <c r="E20" i="29"/>
  <c r="H22" i="29" s="1"/>
  <c r="H23" i="29" s="1"/>
  <c r="E20" i="25"/>
  <c r="H22" i="25" s="1"/>
  <c r="H23" i="25" s="1"/>
  <c r="E20" i="22"/>
  <c r="H22" i="22" s="1"/>
  <c r="H23" i="22" s="1"/>
  <c r="I11" i="22"/>
  <c r="I12" i="22"/>
  <c r="I9" i="22"/>
  <c r="I6" i="22"/>
  <c r="I5" i="22"/>
  <c r="I8" i="22"/>
  <c r="I4" i="22"/>
  <c r="I7" i="22"/>
  <c r="I4" i="9"/>
  <c r="E20" i="9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H22" i="27" l="1"/>
  <c r="H23" i="27" s="1"/>
  <c r="E3" i="26"/>
  <c r="H25" i="23" s="1"/>
  <c r="I25" i="23" s="1"/>
  <c r="E20" i="12"/>
  <c r="H22" i="12" s="1"/>
  <c r="H23" i="12" s="1"/>
  <c r="E20" i="6"/>
  <c r="H22" i="6" s="1"/>
  <c r="H23" i="6" s="1"/>
  <c r="H22" i="14"/>
  <c r="H23" i="14" s="1"/>
  <c r="H22" i="24"/>
  <c r="H23" i="24" s="1"/>
  <c r="E20" i="20"/>
  <c r="E3" i="20" s="1"/>
  <c r="H20" i="23" s="1"/>
  <c r="I20" i="23" s="1"/>
  <c r="E3" i="16"/>
  <c r="H16" i="23" s="1"/>
  <c r="I16" i="23" s="1"/>
  <c r="E3" i="8"/>
  <c r="H8" i="23" s="1"/>
  <c r="I8" i="23" s="1"/>
  <c r="E20" i="5"/>
  <c r="E3" i="5" s="1"/>
  <c r="H5" i="23" s="1"/>
  <c r="I5" i="23" s="1"/>
  <c r="H22" i="30"/>
  <c r="H23" i="30" s="1"/>
  <c r="E3" i="29"/>
  <c r="H27" i="23" s="1"/>
  <c r="I27" i="23" s="1"/>
  <c r="E3" i="25"/>
  <c r="H24" i="23" s="1"/>
  <c r="I24" i="23" s="1"/>
  <c r="E3" i="22"/>
  <c r="H22" i="23" s="1"/>
  <c r="I22" i="23" s="1"/>
  <c r="E20" i="21"/>
  <c r="H22" i="21" s="1"/>
  <c r="H23" i="21" s="1"/>
  <c r="E20" i="19"/>
  <c r="H22" i="19" s="1"/>
  <c r="H23" i="19" s="1"/>
  <c r="E3" i="18"/>
  <c r="H18" i="23" s="1"/>
  <c r="I18" i="23" s="1"/>
  <c r="E20" i="15"/>
  <c r="H22" i="15" s="1"/>
  <c r="H23" i="15" s="1"/>
  <c r="E20" i="13"/>
  <c r="E3" i="13" s="1"/>
  <c r="H13" i="23" s="1"/>
  <c r="I13" i="23" s="1"/>
  <c r="E20" i="11"/>
  <c r="H22" i="11" s="1"/>
  <c r="H23" i="11" s="1"/>
  <c r="E20" i="10"/>
  <c r="H22" i="10" s="1"/>
  <c r="H23" i="10" s="1"/>
  <c r="E3" i="9"/>
  <c r="H9" i="23" s="1"/>
  <c r="I9" i="23" s="1"/>
  <c r="E20" i="7"/>
  <c r="E20" i="4"/>
  <c r="E3" i="4" s="1"/>
  <c r="H4" i="23" s="1"/>
  <c r="I4" i="23" s="1"/>
  <c r="E20" i="17"/>
  <c r="E20" i="1"/>
  <c r="E3" i="12" l="1"/>
  <c r="H12" i="23" s="1"/>
  <c r="I12" i="23" s="1"/>
  <c r="E3" i="6"/>
  <c r="H6" i="23" s="1"/>
  <c r="I6" i="23" s="1"/>
  <c r="H22" i="20"/>
  <c r="H23" i="20" s="1"/>
  <c r="E3" i="21"/>
  <c r="H21" i="23" s="1"/>
  <c r="I21" i="23" s="1"/>
  <c r="E3" i="19"/>
  <c r="H19" i="23" s="1"/>
  <c r="I19" i="23" s="1"/>
  <c r="E3" i="15"/>
  <c r="H15" i="23" s="1"/>
  <c r="I15" i="23" s="1"/>
  <c r="H22" i="13"/>
  <c r="H23" i="13" s="1"/>
  <c r="E3" i="10"/>
  <c r="H10" i="23" s="1"/>
  <c r="I10" i="23" s="1"/>
  <c r="H22" i="5"/>
  <c r="H23" i="5" s="1"/>
  <c r="H22" i="4"/>
  <c r="H23" i="4" s="1"/>
  <c r="E3" i="11"/>
  <c r="H11" i="23" s="1"/>
  <c r="I11" i="23" s="1"/>
  <c r="H22" i="7"/>
  <c r="H23" i="7" s="1"/>
  <c r="E3" i="7"/>
  <c r="H7" i="23" s="1"/>
  <c r="I7" i="23" s="1"/>
  <c r="H22" i="17"/>
  <c r="H23" i="17" s="1"/>
  <c r="E3" i="17"/>
  <c r="H17" i="23" s="1"/>
  <c r="I17" i="23" s="1"/>
  <c r="E3" i="1"/>
  <c r="H3" i="23" s="1"/>
  <c r="I3" i="23" s="1"/>
  <c r="H22" i="1"/>
  <c r="H23" i="1" s="1"/>
  <c r="H41" i="23" l="1"/>
</calcChain>
</file>

<file path=xl/sharedStrings.xml><?xml version="1.0" encoding="utf-8"?>
<sst xmlns="http://schemas.openxmlformats.org/spreadsheetml/2006/main" count="1434" uniqueCount="266">
  <si>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</si>
  <si>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</si>
  <si>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</si>
  <si>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</si>
  <si>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</si>
  <si>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</si>
  <si>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</si>
  <si>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</si>
  <si>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</si>
  <si>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</si>
  <si>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</si>
  <si>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</si>
  <si>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</si>
  <si>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</si>
  <si>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</si>
  <si>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</si>
  <si>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</si>
  <si>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</si>
  <si>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</si>
  <si>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</si>
  <si>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</si>
  <si>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</si>
  <si>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</si>
  <si>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</si>
  <si>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</si>
  <si>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</si>
  <si>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</si>
  <si>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</si>
  <si>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</si>
  <si>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</si>
  <si>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</si>
  <si>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estimado</t>
  </si>
  <si>
    <t>n/a</t>
  </si>
  <si>
    <t>SUPORTE PARA TV LED TIPO PEDESTAL DE PISO, com as seguintes características:
• Com regulagem de altura da TV;
• Compatível com TVs de 32 a 65 polegadas;
• Cor predominante preta ou grafite;
• Passagem interna para fiação;
• Com no mínimo uma bandeja de apoio para DVD e Notebook;
• Dimensões da bandeja (500mm x 290mm) (LxP). Admite-se variação de 100 mm na largura e de 100 mm na profundidade;
• Compatível com os seguintes padrões de furação VESA 200x100, 200x200, 200x300, 300x200, 300x300, 400x200, 400x300, 400x400, 600x200 ou 600x400mm (HxV);
• Parafusos para fixação da TV;
• Fabricado em aço carbono com acabamento em pintura eletrostática;
• Rodízio (rodas) para locomoção com trava;
• Mínimo de uma prateleira;
• Carga mínima suportada da TV: 45 kg ou superior;
• Carga mínima sobre a bandeja: 5 kg ou superior;
• Manual de instrução de português.
• Garantia de, no mínimo, 90 dias.</t>
  </si>
  <si>
    <t>quantidade total</t>
  </si>
  <si>
    <t>quantidade
TRE-BA</t>
  </si>
  <si>
    <t>quantidade
SESDEC Gov/RO</t>
  </si>
  <si>
    <t>APARELHO TELEFÔNICO IP Fixo – tipo 1, com as seguintes características:
• Terminal de comunicação IP composto por telefone, monofone, e acessórios para seu pleno funcionamento.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fixo.
• Possuir duas portas switch fast ethernet integradas internas, permitindo a conexão de um computador diretamente ao telefone IP fixo, nas velocidades de 10/100 Mbps, autosensing. Não será aceito o uso de adaptadores internos ou externos para as portas fast ethernet.
• Suportar PoE (Power over Ethernet) conforme a classificação do padrão IEEE 802.3af (calss1), suportando alimentação direta via interface ethernet.
• A porta do telefone IP deverá suportar mecanismo de qualidade de serviço e tronco de VLAN padrão 802.1q e 802.1p. Desta forma, o tráfego de dados e de voz utilizarão VLANs distintas.
• Certificado/homologado pela ANATEL.
• Possuir no mínimo os codecs G.711 e G.729.
• Permitir busca de configuração em servidores comuns por meio de protocolos padrão.
• Suportar o protocolo Session Initiation Protocol (SIP), não serão aceitos equipamentos híbridos com telefonia analógica ou que necessitem de adaptadores externos para o funcionamento.
• Possuir recurso de viva-voz bidirecional com cancelamento de eco.
• Permitir o ajuste de toque de chamada.
• Deve possuir ajuste de volume para fone, campainha e fone de ouvido.
• Deve possuir display de cristal líquido (LCD) monocromático, com iluminação de fundo, com resolução mínima de 128 x 32 pixels. Este display deve prover informações de data e hora, correio e voz, ícone de chamadas perdidas, detalhes da chamada durante uma ligação, histórico de chamadas efetuadas e recebidas e configurações do aparelho.
• Suportar o idioma Português (Brasil).
• Possuir recurso de geração de supressão de silêncio.
• A compressão dos canais de voz deve ser realizada no próprio aparelho.
• Permitir que se efetue transferência de chamadas internas e externas. O usuário poderá optar pela transferência de uma chamada recebida para um número interno ou externo.
• Possuir recurso que indique a existência de “chamada em espera”, informando ao usuário que há uma chamada entrante durante uma conversação.
• Permitir a rediscagem do último número discado.
• Possuir a tecla mute.
• Possuir recurso de discagem rápida para números pré-configurados pelo usuário.
• Suportar desvio automático de chamada para voicemail ou outro destino pré-configurado.
• Suportar conferência e captura de chamadas.
• Possuir fonte de energia compatível e do mesmo fabricante do telefone IP. A fonte deve operar na faixa de 110 Vac a 240 Vac, com chaveamento automático (conversão automática), frequência de 50-60 Hz e tomada padrão brasileiro.
• Garantia mínima de 12 (doze) meses.
• Referência: CISCO SIP PHONE 3905</t>
  </si>
  <si>
    <t>CAFETEIRA, com as seguintes especificações:
• Jarra em aço inox;
• Filtro permanente removível;
• Capacidade mínima de 1 litro;
• Indicador do nível de água;
• Alimentação elétrica: 127V ou bivolt;
• Garantia de, no mínimo, 12 (doze) meses.</t>
  </si>
  <si>
    <t>CAFETEIRA, com as seguintes especificações:
• Jarra em aço inox;
• Filtro permanente removível;
• Capacidade mínima de 1 litro;
• Indicador do nível de água;
• Alimentação elétrica: 220V ou bivolt;
• Garantia de, no mínimo, 12 (doze) meses.</t>
  </si>
  <si>
    <t>FORNO DE MICRO-ONDAS, com as seguintes especificações:
• Capacidade (câmara do alimento) entre 30 e 35 litros;
• Voltagem: 127V;
• Prato giratório removível;
• Display e menu com funções em português;
• Trava de segurança.
• Selo Procel A.
• Garantia de, no mínimo, 12 (doze) meses.</t>
  </si>
  <si>
    <t>FORNO DE MICRO-ONDAS, com as seguintes especificações:
• Capacidade (câmara do alimento) entre 30 e 35 litros;
• Voltagem: 220V;
• Prato giratório removível;
• Display e menu com funções em português;
• Trava de segurança.
• Selo Procel A.
• Garantia de, no mínimo, 12 (doze) meses.</t>
  </si>
  <si>
    <t>REFRIGERADOR, com as seguintes especificações:
• Tipo frigobar;
• Volume interno total: 75 a 95 litros;
• Selo Procel Classe A;
• Tensão elétrica: 127V;
• Degelo automático ou bandeja de degelo;
• Prateleiras removíveis;
• Portas reversíveis;
• Controle de temperatura;
• Cor branca.
• Garantia de, no mínimo, 12 (doze) meses.</t>
  </si>
  <si>
    <t>REFRIGERADOR, com as seguintes especificações:
• Tipo frigobar;
• Volume interno total: 75 a 95 litros;
• Selo Procel Classe A;
• Tensão elétrica: 220V;
• Degelo automático ou bandeja de degelo;
• Prateleiras removíveis;
• Portas reversíveis;
• Controle de temperatura;
• Cor branca.
• Garantia de, no mínimo, 12 (doze) meses.</t>
  </si>
  <si>
    <t>BEBEDOURO DE COLUNA, com as seguintes especificações:
• Tipo garrafão;
• Selo de conformidade Inmetro;
• Acomodação para garrafão de 10 e 20 litros;
• Capacidade de fornecimento de água gelada: 0,90 l/h ou superior;
• Tensão elétrica: 127V ou bivolt;
• Gabinete com laterais confeccionadas em aço carbono galvanizado, chapa eletrozincada ou inox;
• Pingadeira com tampo removível;
• Acionamento para água gelada e natural;
• Gás refrigerante ecológico;
• Cor branca ou inox;
• Em conformidade com a norma ABNT NBR 16236:2013 (Versão corrigida) ou mais recente.
• Garantia de, no mínimo, 12 (doze) meses.</t>
  </si>
  <si>
    <t>BEBEDOURO DE COLUNA, com as seguintes especificações:
• Tipo garrafão;
• Selo de conformidade Inmetro;
• Acomodação para garrafão de 10 e 20 litros;
• Capacidade de fornecimento de água gelada: 0,90 l/h ou superior;
• Tensão elétrica: 220V ou bivolt;
• Gabinete com laterais confeccionadas em aço carbono galvanizado, chapa eletrozincada ou inox;
• Pingadeira com tampo removível;
• Acionamento para água gelada e natural;
• Gás refrigerante ecológico;
• Cor branca ou inox;
• Em conformidade com a norma ABNT NBR 16236:2013 (Versão corrigida) ou mais recente.
• Garantia de, no mínimo, 12 (doze) meses.</t>
  </si>
  <si>
    <t>BEBEDOURO DE COLUNA TIPO PRESSÃO, com as seguintes especificações:
• Certificado pelo Inmetro;
• Tensão Elétrica 127V;
• Gabinete com laterais confeccionada em aço;
• Com 2 (duas)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ecológico;
• Em conformidade com a norma ABNT NBR 16236:2013 (Versão corrigida) ou mais recente.
• Garantia de, no mínimo, 12 (doze) meses.</t>
  </si>
  <si>
    <t>BEBEDOURO DE COLUNA TIPO PRESSÃO, com as seguintes especificações:
• Certificado pelo Inmetro;
• Tensão Elétrica 220V;
• Gabinete com laterais confeccionada em aço;
• Com 2 (duas)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ecológico;
• Em conformidade com a norma ABNT NBR 16236:2013 (Versão corrigida) ou mais recente. 
• Garantia de, no mínimo, 12 (doze) meses.</t>
  </si>
  <si>
    <t>REFRIGERADOR, com as seguintes especificações:
• Volume interno total: mínimo de 340 litros;
• Selo Procel Classe A;
• Tensão elétrica: 127V;
• Frost free;
• Prateleiras removíveis;
• Portas reversíveis;
• Controle de temperatura;
• Fluído refrigerante ecológico;
• Cor branca.
• Garantia de, no mínimo, 12 (doze) meses.</t>
  </si>
  <si>
    <t>REFRIGERADOR, com as seguintes especificações:
• Volume interno total: mínimo de 340 litros;
• Selo Procel Classe A;
• Tensão elétrica: 220V;
• Frost free;
• Prateleiras removíveis;
• Portas reversíveis;
• Controle de temperatura;
• Fluído refrigerante ecológico;
• Cor branca.
• Garantia de, no mínimo, 12 (doze) meses.</t>
  </si>
  <si>
    <t>FREEZER VERTICAL FROST FREE, com as seguintes especificações:
• Capacidade: mínimo de 200 litros;
• Selo Procel classe A;
• Fluído refrigerante ecológico;
• Com gavetas removíveis;
• Controle de temperatura;
• Tensão elétrica: 127V;
• Cor branca.
• Garantia de, no mínimo, 12 (doze) meses.</t>
  </si>
  <si>
    <t>FREEZER VERTICAL FROST FREE, com as seguintes especificações:
• Capacidade: mínimo de 200 litros;
• Selo Procel classe A;
• Fluído refrigerante ecológico;
• Com gavetas removíveis;
• Controle de temperatura;
• Tensão elétrica: 220V;
• Cor branca.
• Garantia de, no mínimo, 12 (doze) meses.</t>
  </si>
  <si>
    <t>VENTILADOR DE PAREDE, com as seguintes especificações:
• Grade de metal;
• Diâmetro da grade: 100 cm, admitida variação de ± 5 cm;
• Rotação mínima: 1000 r.p.m.
• Tensão: bivolt ou 110 volts;
• Regulagem de inclinação;
• Garantia de, no mínimo, 12 (doze) meses.</t>
  </si>
  <si>
    <t>VENTILADOR DE PAREDE, com as seguintes especificações:
• Grade de metal;
• Diâmetro da grade: 100 cm, admitida variação de ± 5 cm;
• Rotação mínima: 1000 r.p.m.
• Tensão: bivolt ou 220 volts;
• Regulagem de inclinação;
• Garantia de, no mínimo, 12 (doze) meses.</t>
  </si>
  <si>
    <t>CAFETEIRA ELÉTRICA INDUSTRIAL, com as seguintes características;
• Depósito em aço inox;
• Capacidade para 20 litros de café pronto;
• Termostato regulável na faixa de 20º C a 120º C.
• Tensão elétrica: 220V;
• Potência mínima de aquecimento: 4000 W;
• Acompanha coador de pano;
• Garantia de, no mínimo, 180 (cento e oitenta) dias.</t>
  </si>
  <si>
    <t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127 V
• Garantia de, no mínimo, 180 (cento e oitenta) dias.</t>
  </si>
  <si>
    <t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220 V
• Garantia de, no mínimo, 180 (cento e oitenta) dias.</t>
  </si>
  <si>
    <t>VÍDEO WALL CONTROLADOR 2X2, 4K, 4 TELAS, USB, HDMI, com as seguintes características:
Resolução:
• Entrada suporta: 3840 x 2160 com 30Hz;
• Saída Suporta: 1920 x 1080 com 30Hz .
Funcionalidades:
• Suporta até 4 Telas diferentes, permite várias combinações de exibição no display;
• Indicador luminoso de funcionamento: LED vermelho para ligado e LED verde significa conexão bem-sucedida com o monitor;
• Botão que altera o modo de exibição no painel. Mudança também pode ser feita pelo controle remoto;
• Botão no painel para seleção rápida da fonte de sinal HDMI (entrada/saída);
• Botão no painel para reset rápido e redefinição do controlador de vídeo Wall;
• Porta RS232, para conexão de porta serial do controlador Uso pelo fabricante;
• Leitor de cartão SD, para atualização da entrada da fonte de sinal;
• Entradas 2 USB 2.0, para conexão de periféricos como Pendrives HDs externos teclado, mouse e outros;
• Entrada R/L para fone de ouvido (3,5mm), saída estéreo de áudio analógico;
• Acesso para fibra óptica, porta para saída de áudio digital estéreo;
• Recepção de sinal infravermelho, para uso do controle remoto (IR);
• Sistema “plug and play”, sem a necessidade de instalação de software adicional;
• Garantia de, no mínimo, 12 (doze) meses.</t>
  </si>
  <si>
    <t>PURIFICADOR DE ÁGUA, com as seguintes características:
• Tensão Elétrica: 127 volts;
• Fornecimento de água em, no mínimo, 02 (duas) temperaturas: natural e gelada;
• Refrigeração feita por compressor;
• Para uso fixado na parede ou em bancada;
• Que possibilite fácil substituição do refil pelo próprio usuário, sem a necessidade de ferramentas (sistema “girou trocou”, “troca fácil”, apenas um botão ou similar);
• Elemento filtrante com capacidade de redução de cloro livre, retenção de partículas Classe C ou superior, e eliminação de odores e sabores presentes na água;
• Capacidade de fornecimento de água gelada de, no mínimo, 0,5 L/H, conforme norma ABNT NBR 16236/2013 Versão corrigida ou mais recente;
• Ligado na água da rede;
• Fluido refrigerante ecológico;
• Vida útil do filtro de, no mínimo 06 (seis) meses;
• Selo Inmetro;
• Cor branca, cinza, prata ou preta;
• Garantia de, no mínimo, 12 (doze) meses.</t>
  </si>
  <si>
    <t>PURIFICADOR DE ÁGUA, com as seguintes características:
• Tensão Elétrica: 220 volts;
• Fornecimento de água em, no mínimo, 02 (duas) temperaturas: natural e gelada;
• Refrigeração feita por compressor;
• Para uso fixado na parede ou em bancada;
• Que possibilite fácil substituição do refil pelo próprio usuário, sem a necessidade de ferramentas (sistema “girou trocou”, “troca fácil”, apenas um botão ou similar);
• Elemento filtrante com capacidade de redução de cloro livre, retenção de partículas Classe C ou superior, e eliminação de odores e sabores presentes na água;
• Capacidade de fornecimento de água gelada de, no mínimo, 0,5 L/H, conforme norma ABNT NBR 16236/2013 Versão corrigida ou mais recente;
• Ligado na água da rede;
• Fluido refrigerante ecológico;
• Vida útil do filtro de, no mínimo 06 (seis) meses;
• Selo Inmetro;
• Cor branca, cinza, prata ou preta;
• Garantia de, no mínimo, 12 (doze) meses.</t>
  </si>
  <si>
    <t>REFIL para Purificador de Água, com as seguintes características:
• Compatível com purificadores de água indicados nos itens 27 e 28;
• Com capacidade de redução de cloro livre, retenção de partículas Classe C ou superior e eliminação de odores e sabores presentes na água;
• Que possibilite fácil substituição pelo próprio usuário, sem a necessidade de ferramentas (sistema “girou trocou”, “troca fácil”, apenas um botão ou similar);
• Vida útil de, no mínimo, 06 (seis) meses;
• Garantia de,  no mínimo, 30 (trinta) dias.</t>
  </si>
  <si>
    <t>MULTÍMETRO DIGITAL
• Conformidade com a IEC1010;
• Medição de Tensão DC de 200mV, 2V, 20V, 200V, 600V;
• Medição de Tensão AC: Faixas: 200V, 600V;
• Medição de Corrente DC: Faixas: 200µA, 2mA, 20mA, 200mA, 10A;
• Medição de Resistência: Faixas: 200Ω , 2kΩ , 20kΩ , 200kΩ , 20MΩ; 
• Alimentação: 01 (uma) bateria 9V.
• Garantia de, no mínimo, 6 (seis) meses.</t>
  </si>
  <si>
    <t>ANTENA INTERNA PARA TV DIGITAL, com as seguintes características:
• Cabo de no mínimo 2,5 metros.
• Capta sinais UHF/HDTV
• Conector F macho
• Cor preta 
• Garantia, de no mínimo, 6 (seis) meses.</t>
  </si>
  <si>
    <t>REFIL para Purificador de Água, com as seguintes características:
• Compatível com purificador de água Marca Top Life, modelo: Platinum New.
• Com capacidade de redução de cloro livre, retenção de partículas Classe C ou superior e eliminação de odores e sabores presentes na água;
• Que possibilite fácil substituição pelo próprio usuário, sem a necessidade de ferramentas (sistema “girou trocou”, “troca fácil”, apenas um botão ou similar);
• Vida útil de, no mínimo, 06 (seis) meses;
• Garantia de, no mínimo, 30 (trinta) dias.</t>
  </si>
  <si>
    <t>APARELHO TELEFÔNICO IP Fixo – tipo 2, com as seguintes características:
• Terminal de comunicação IP composto por telefone, monofone, e acessórios para seu pleno funcionamento;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fixo;
• Possuir duas portas switch fast ethernet integradas internas, permitindo a conexão de um computador diretamente ao telefone IP fixo, nas velocidades de 10/100 Mbps, autosensing. Não será aceito o uso de adaptadores internos ou externos para as portas fast ethernet;
• Suportar PoE (Power over Ethernet) conforme a classificação do padrão IEEE 802.3af (calss1), suportando alimentação direta via interface ethernet;
• A porta do telefone IP deverá suportar mecanismo de qualidade de serviço e tronco de VLAN padrão 802.1q e 802.1p. Desta forma, o tráfego de dados e de voz utilizarão VLANs distintas;
• Certificado/homologado pela ANATEL;
• Possuir no mínimo os codecs G.711 e G.729;
• Permitir busca de configuração em servidores comuns por meio de protocolos padrão;
• Suportar o protocolo Session Initiation Protocol (SIP), não serão aceitos equipamentos híbridos com telefonia analógica ou que necessitem de adaptadores externos para o funcionamento;
• Possuir recurso de viva-voz bidirecional com cancelamento de eco;
• Permitir o ajuste de toque de chamada;
• Possuir ajuste de volume para fone, campainha e fone de ouvido;
• Possuir, no mínimo, 4 teclas de função programáveis;
• Possuir entrada de headset;
• Possuir base com ângulo de visão ajustável;
• Possuir display de cristal líquido (LCD) monocromático, com iluminação de fundo, com resolução mínima de 160 x 80 pixels. Este display deve prover informações de data e hora, correio e voz, ícone de chamadas perdidas, detalhes da chamada durante uma ligação, histórico de chamadas efetuadas e recebidas e configurações do aparelho;
• Suportar o idioma Português (Brasil);
• Possuir recurso de geração de supressão de silêncio;
• A compressão dos canais de voz deve ser realizada no próprio aparelho;
• Suportar o protocolo Transport Layer Security (TLS) com criptografia AES de 128 bits;
• Permitir que se efetue transferência de chamadas internas e externas. O usuário poderá optar pela transferência de uma chamada recebida para um número interno ou externo;
• Possuir recurso que indique a existência de “chamada em espera”, informando ao usuário que há uma chamada entrante durante uma conversação;
• Permitir a rediscagem do último número discado; 
• Possuir a tecla mute;
• Possuir recurso de discagem rápida para números pré-configurados pelo usuário; 
• Suportar desvio automático de chamada para voicemail ou outro destino pré-configurado;
• Suportar conferência e captura de chamadas;
• Deve suportar de forma nativa autenticação e criptografia nas chamadas telefônicas, com indicação na tela do uso destas funcionalidades;
• Garantia mínima de 12 (doze) meses.
• Referência: CISCO UC PHONE CP-7821</t>
  </si>
  <si>
    <t>TELEVISOR LED, com as seguintes características:
Diagonal entre 30 a 32 polegadas;
Conversor digital integrado;
Cor preta;
 Fonte bivolt 110-220 V;
 Conexões:
 Mínimo de 1 (uma) entrada HDMI;
 Mínimo de 1 (uma) entrada USB 2.0 ou superior com capacidade de reprodução de áudio, vídeo e musicas
em alta resolução direto de dispositivo USB (Pen Drive);
 Mínimo de 1(uma) entrada de áudio/vídeo;
 Mínimo de uma entrada RF para TV aberta.
Controle remoto munido das pilhas necessárias para o primeiro uso;
Acompanhado de base para uso em mesa;
Manual em português;
Etiqueta Nacional de Eficiência Energética (ENCE): A
Garantia de, no mínimo, 12 (doze) meses.
“Obs. Cota principal – item relacionado ao item 34 (cota reservada) para fins do disposto no §3º do art. 8º do
Decreto nº 8.538/2015”.</t>
  </si>
  <si>
    <t xml:space="preserve">SMART TV LED, com as seguintes características:
 Diagonal entre 55 a 60 polegadas;
 Cor preta;
 Resolução de imagem mínima Full HD;
 Conversor digital integrado;
 Fonte bivolt 110-220 V;
 Conexões:
 Mínimo de 2 (duas) entradas HDMI;
 Mínimo de 1 (uma) entrada USB 2.0 ou superior com capacidade de reprodução de áudio, vídeo e musicas em
alta resolução direto de dispositivo USB (Pen Drive);
 Mínimo de 1 (uma) entrada de áudio/vídeo;
 Mínimo de uma entrada RF para TV aberta;
 Mínimo de uma entrada Ethernet (LAN);
 Wi-fi integrado;
 Controle remoto munido das pilhas necessárias;
 Alimentação bivolt: 110 – 220 V/60hz;
 Acompanhado de base para uso em mesa;
 Etiqueta Nacional de Eficiência Energética (ENCE):A
 Menu em Português;
 Garantia de, no mínimo, 12 (doze) meses.
</t>
  </si>
  <si>
    <t xml:space="preserve">VENTILADOR DE COLUNA, com as seguintes especificações:
 Grade de metal;
 Diâmetro da grade: 65 cm, admitida variação de ± 5 cm;
 Tensão: bivolt;
 Coluna regulável, com altura mínima de 1,5m na posição distendida;
 Mecanismo oscilante e controle de velocidade.
 Etiqueta Nacional de Eficiência Energética (ENCE): A
 Garantia de, no mínimo, 12 (doze) meses.
</t>
  </si>
  <si>
    <t>SMARTV com as seguintes características:
Diagonal 40 polegadas;
Conversor digital integrado;
Cor preta;  Borda infinita;
 Fonte bivolt 110-220 V;
 Conexões:
 Mínimo de 2 (duas) entradas HDMI;
 Conectividade Wi-Fi;
 Mínimo de 1 (uma) entrada USB 2.0 ou superior com capacidade de reprodução de áudio, vídeo e
musicas em alta resolução direto de dispositivo USB (Pen Drive);
 Mínimo de 1 (uma) entrada de áudio/vídeo;
oMínimo de uma entrada RF para TV aberta;
oMínimo de 1 (uma) entrada ethernet.
 Controle remoto munido das pilhas necessárias para o primeiro uso;
 Acompanhado de base para uso em mesa;
Etiqueta Nacional de Eficiência Energética (ENCE):A
Manual em português;
Garantia de, no mínimo, 12 (doze) meses.</t>
  </si>
  <si>
    <t>TELEVISOR LED, com as seguintes características:
• Diagonal entre 30 a 32 polegadas;
• Conversor digital integrado;
• Cor preta;
• Fonte bivolt 110-220 V;
•     Conexões:
 Mínimo de 1 (uma) entrada HDMI;
 Mínimo de 1 (uma) entrada USB 2.0 ou superior com capacidade de reprodução de áudio, vídeo e musicas em alta resolução direto de dispositivo USB (Pen Drive);
 Mínimo de 1(uma) entrada de áudio/vídeo;
 Mínimo de uma entrada RF para TV aberta.
• Controle remoto munido das pilhas necessárias para o primeiro uso;
• Acompanhado de base para uso em mesa;
• Manual em português; Etiqueta Nacional de Eficiência Energética (ENCE):A
• Garantia de, no mínimo, 12 (doze) meses.</t>
  </si>
  <si>
    <t>ONE COMERCIAL LTDA</t>
  </si>
  <si>
    <t>JR2 COMERCIO DE VARIEDADES LTDA</t>
  </si>
  <si>
    <t>FRC COMERCIO ATACADISTA LTDA</t>
  </si>
  <si>
    <t>ANDERSON AMORIM ROSA</t>
  </si>
  <si>
    <t>MIX SOLUCOES INTEGRADAS LTDA</t>
  </si>
  <si>
    <t>DUARTE COMERCIO VAREJISTA COM PREDOMINANCIA DE PRODUTOS ALIMENTICIOS LTDA</t>
  </si>
  <si>
    <t>INOVE LICITACOES LTDA</t>
  </si>
  <si>
    <t>40.091.160 VINICIUS NONATO DE SOUSA</t>
  </si>
  <si>
    <t>SJT COMERCIO E TRANSPORTE LTDA</t>
  </si>
  <si>
    <t>VIPE COMERCIAL LTDA</t>
  </si>
  <si>
    <t>REDNOV FERRAMENTAS LTDA</t>
  </si>
  <si>
    <t>VALENCY TRADE SERVICE LTDA</t>
  </si>
  <si>
    <t>JB LICITACOES LTDA</t>
  </si>
  <si>
    <t>50.209.968 JOELMO RAMOS VIEIRA GUALBERTO</t>
  </si>
  <si>
    <t>SOUZA ALVES &amp; CIA LTDA</t>
  </si>
  <si>
    <t>VIOLA MIX MOVEIS LTDA</t>
  </si>
  <si>
    <t>PESSANHA NEGOCIOS E INTERMEDIACOES LTDA</t>
  </si>
  <si>
    <t>PAULO C MARTINS LTDA</t>
  </si>
  <si>
    <t>LUTHOR COMERCIO LTDA</t>
  </si>
  <si>
    <t>SUPER LICITE LICITACOES LTDA</t>
  </si>
  <si>
    <t>R L A MOREIRA DISTRIBUIDORA</t>
  </si>
  <si>
    <t>DIEGO VIANA DA SILVA 35845555825</t>
  </si>
  <si>
    <t>INOVA TECH INFORMATICA LTDA</t>
  </si>
  <si>
    <t>SSB SUPREMOS COMERCIO E SERVICOS LTDA</t>
  </si>
  <si>
    <t>51.607.431 KIRTY ALLEY MARTINS MOURA SILVA</t>
  </si>
  <si>
    <t>CRISTAL SUL COMERCIO VAREJISTA DE EQUIPAMENTOS LTDA</t>
  </si>
  <si>
    <t>J FERMIANO E CIA LTDA</t>
  </si>
  <si>
    <t>AC EQUIPAMENTOS E ELETRODOMESTICOS LTDA</t>
  </si>
  <si>
    <t>LICIT PRIME LTDA.</t>
  </si>
  <si>
    <t>FORMIGARI COMERCIO DE MOVEIS LTDA</t>
  </si>
  <si>
    <t>RHG SERVICOS E COMERCIO LTDA</t>
  </si>
  <si>
    <t>41.246.688 ROBSON FERREIRA DOS SANTOS</t>
  </si>
  <si>
    <t>APRIMORAR - SOLUCOES INTEGRADAS LTDA</t>
  </si>
  <si>
    <t>ARGON ASSESSORIA COMERCIO E DISTRIBUICAO LTDA</t>
  </si>
  <si>
    <t>SUL AGUA EQUIPAMENTOS LTDA</t>
  </si>
  <si>
    <t>CH3 COMERCIO E NEGOCIOS LTDA</t>
  </si>
  <si>
    <t>47.863.058 DANILO SANTOS DA SILVA</t>
  </si>
  <si>
    <t>CASTRO EQUIPAMENTOS LTDA</t>
  </si>
  <si>
    <t>VALLE MEDICA LTDA</t>
  </si>
  <si>
    <t>CAZA FORTE ENGENHARIA LTDA</t>
  </si>
  <si>
    <t>LUZOR GROUP LTDA</t>
  </si>
  <si>
    <t>SUPERAR LTDA</t>
  </si>
  <si>
    <t>CITE ELETRODOMESTICOS LTDA</t>
  </si>
  <si>
    <t>INOVATEC SOLUCOES LTDA.</t>
  </si>
  <si>
    <t>REDNOV FERRAMENTAS LTDA.</t>
  </si>
  <si>
    <t>C &amp; N MOVEIS PARA ESCRITORIO LTDA</t>
  </si>
  <si>
    <t>AR COMERCIO DE EQUIPAMENTOS LTDA</t>
  </si>
  <si>
    <t>MUNDIAL REFRIGERACAO LTDA</t>
  </si>
  <si>
    <t>MICROTECNICA INFORMATICA LTDA</t>
  </si>
  <si>
    <t>PRIMER SOLUCOES LTDA</t>
  </si>
  <si>
    <t>LICITASP DISTRIBUIDOR DE EQUIPAMENTOS SOCIEDADE UNIPESSOAL LTDA</t>
  </si>
  <si>
    <t>LMR SOLUTIONS LTDA</t>
  </si>
  <si>
    <t>SORELLE COMERCIO ELETROS E EQUIPAMENTOS LTDA</t>
  </si>
  <si>
    <t>SP DRONES E COMERCIO LTDA</t>
  </si>
  <si>
    <t>XM CONSTRUCOES LTDA</t>
  </si>
  <si>
    <t>NOVA BRASIL LICITACOES LTDA</t>
  </si>
  <si>
    <t>NOVA MIX LTDA</t>
  </si>
  <si>
    <t>L L SHINDERLEY COMERCIO LTDA</t>
  </si>
  <si>
    <t>PREMIER COMERCIO DE MATERIAIS E EQUIPAMENTOS LTDA</t>
  </si>
  <si>
    <t>SOS - MEDICALTEC LTDA</t>
  </si>
  <si>
    <t>LAR E COZINHA COMERCIAL LTDA</t>
  </si>
  <si>
    <t>MUNDIAL COMERCIO E SERVICOS DE INFORMATICA LTDA</t>
  </si>
  <si>
    <t>J B M H DISTRIBUIDORA DE EQUIPAMENTOS ELETRONICOS LTDA</t>
  </si>
  <si>
    <t>H &amp; I DISTRIBUIDORA LTDA</t>
  </si>
  <si>
    <t xml:space="preserve">FABRICIO RODRIGUES PEREIRA </t>
  </si>
  <si>
    <t>J J PRODUTOS LTDA</t>
  </si>
  <si>
    <t>ACARVE COMERCIO E LICITACOES LTDA</t>
  </si>
  <si>
    <t>BT COMERCIO INTELIGENTE LTDA</t>
  </si>
  <si>
    <t>FERREIRA COSTA &amp; CIA LTDA</t>
  </si>
  <si>
    <t>CENTER LIMP LTDA</t>
  </si>
  <si>
    <t>MERCADO MOVEIS LTDA</t>
  </si>
  <si>
    <t>COMERCIAL MINAS BRASILIA LTDA</t>
  </si>
  <si>
    <t>FABRICIO RODRIGUES PEREIRA</t>
  </si>
  <si>
    <t>SOLID BRASIL COMERCIO VAREJISTA LTDA</t>
  </si>
  <si>
    <t>DIRCEU LONGO &amp; CIA LTDA</t>
  </si>
  <si>
    <t>DT OFFICE - DISTRIBUIDOR DE ELETRONICOS LTDA</t>
  </si>
  <si>
    <t>CARLOS AUGUSTO SANTOS SILVA ESCOLA DE DRONES UNIPESSOAL LTDA</t>
  </si>
  <si>
    <t>RI EMPREENDIMENTO COMERCIAL LTDA</t>
  </si>
  <si>
    <t>DAVANTI MAQUINAS, MOVEIS E EQUIPAMENTOS INDUSTRIAIS LTDA</t>
  </si>
  <si>
    <t>PEPALU COMERCIAL - ARTIGOS DE PAPELARIA E EQUIPAMENTOS LTDA</t>
  </si>
  <si>
    <t>ANA PAULA SARTI PAULUS LTDA</t>
  </si>
  <si>
    <t>OYSTER COMERCIO DE EQUIPAMENTOS LTDA</t>
  </si>
  <si>
    <t>BARRAMAR CARTAS E PUBLICACOES NAUTICAS LTDA</t>
  </si>
  <si>
    <t>TCM TARSIS COMERCIAL DE MERCADORIAS E SERVICOS LTDA</t>
  </si>
  <si>
    <t>JULIANA DE OLIVEIRA CAROLINO MANHAES COMERCIO</t>
  </si>
  <si>
    <t>LITIMAX SERVICO E COMERCIO LTDA</t>
  </si>
  <si>
    <t>GLOBAL SUPRIMENTOS E SERVICOS LTDA</t>
  </si>
  <si>
    <t>M &amp; R SOLUCOES E SERVICOS LTDA</t>
  </si>
  <si>
    <t>32.428.417 ELISABETE BISPO PONTES</t>
  </si>
  <si>
    <t>CH TREVISAN DIAS LTDA</t>
  </si>
  <si>
    <t>MOVIE TECNOLOGIC BRASIL LTDA.</t>
  </si>
  <si>
    <t>SINCES TECNOLOGIA COMERCIO E SERVICOS LTDA</t>
  </si>
  <si>
    <t>R3 TECNOLOGIA LTDA</t>
  </si>
  <si>
    <t>SCORPION INFORMATICA LTDA</t>
  </si>
  <si>
    <t>FELIPE MARCEL VOLPATO</t>
  </si>
  <si>
    <t>50.911.996 CASSIUS ATILA PINHEIRO DE MACEDO</t>
  </si>
  <si>
    <t>44.892.039 EDINELSON JOSE PIRES</t>
  </si>
  <si>
    <t>FUNDACAO UNIVERSIDADE FEDERAL DO ABC</t>
  </si>
  <si>
    <t>MALU COMERCIO VAREJISTA DE MERCADORIAS EM GERAL</t>
  </si>
  <si>
    <t>C O AMARAL</t>
  </si>
  <si>
    <t>ALL IN - SOLUCOES TECNOLOGICAS LTDA</t>
  </si>
  <si>
    <t>PROINDEX INDUSTRIA E COMERCIO LTDA</t>
  </si>
  <si>
    <t>49.264.057 THARLEY DIEGO ALVES SALES</t>
  </si>
  <si>
    <t>AMMO INFORMATICA LTDA</t>
  </si>
  <si>
    <t>SANTOS &amp; DUARTE SUPRIMENTOS PARA INFORMATICA LTDA</t>
  </si>
  <si>
    <t>RPAM SERVICOS E EQUIPAMENTOS LTDA</t>
  </si>
  <si>
    <t>IMUNNE COMERCIO DE MOVEIS E EQUIPAMENTOS LTDA</t>
  </si>
  <si>
    <t>J L FILHO LICITACOES, COMERCIO E SERVICOS LTDA</t>
  </si>
  <si>
    <t>51.525.666 DIEGO DA ROCHA ROMERO</t>
  </si>
  <si>
    <t>OMEGA DISTRIBUIDORA DE CARMO LTDA</t>
  </si>
  <si>
    <t>NELSON BAVARESCO &amp; BAVARESCO LTDA</t>
  </si>
  <si>
    <t>SAMUEL PADOVAM</t>
  </si>
  <si>
    <t>CAPIM DOURADO COMERCIO DE PRODUTOS E SERVICOS LTDA</t>
  </si>
  <si>
    <t>ELITE TECH SUPRIMENTOS LTDA</t>
  </si>
  <si>
    <t>39.886.805 EDLENE CAMPOS NUNES KROHN</t>
  </si>
  <si>
    <t>SILVA DISTRIBUIDORA E FERRAGISTA LTDA</t>
  </si>
  <si>
    <t>VALENTE DISTRIBUICAO, REPRESENTACOES E PRESTACAO DE SERVICOS LTDA</t>
  </si>
  <si>
    <t>R.S. ELETRO LTDA</t>
  </si>
  <si>
    <t>AGUASOFT SUL COMERCIO DE MAQUINAS E EQUIPAMENTOS LTDADEPE</t>
  </si>
  <si>
    <t>RAPHAEL MARCIANO CANGUSSU SILVA 99227096191</t>
  </si>
  <si>
    <t>52.707.286 ISADORA MACHADO SOARES</t>
  </si>
  <si>
    <t>MANHUACU CONSTRUCAO, TERCEIRIZACAO E COMERCIALIZACAO DE MATERIAIS LTDA</t>
  </si>
  <si>
    <t>MULTI FILTROS LTDA</t>
  </si>
  <si>
    <t>MAX QUALITY COMERCIO LTDA</t>
  </si>
  <si>
    <t>MAKTUB DISTRIBUIDORA LTDA</t>
  </si>
  <si>
    <t>ELETROQUIP COMERCIO E LICITACOES LTDA</t>
  </si>
  <si>
    <t>GGV COMERCIAL LTDA</t>
  </si>
  <si>
    <t>49.331.590 MARIA DE FATIMA CASTRO RAMOS</t>
  </si>
  <si>
    <t>JEISON LILLA</t>
  </si>
  <si>
    <t>EMERSON CANO</t>
  </si>
  <si>
    <t>SAMARA VASCONCELOS ROSAS LTDA</t>
  </si>
  <si>
    <t>ICP CIENTIFICA PRODUTOS PARA LABORATORIOS LTDA</t>
  </si>
  <si>
    <t>JAVA WR LTDA</t>
  </si>
  <si>
    <t>DIOGO EMANUEL KUHN &amp; CIA. LTDA</t>
  </si>
  <si>
    <t>50.194.721 VICTOR MOURA AMADO</t>
  </si>
  <si>
    <t>VOLTCOM DO BRASIL LTDA</t>
  </si>
  <si>
    <t>MAIS DISTRIBUICOES PB COMERCIO E SERVICO LTDA</t>
  </si>
  <si>
    <t>49.217.145 FERNANDA GABRIELLA ALMEIDA ARAUJO</t>
  </si>
  <si>
    <t>M. ALCIONE DOS SANTOS GONCALVES</t>
  </si>
  <si>
    <t>AMPLA COMERCIAL LTDA</t>
  </si>
  <si>
    <t>LD 209 MAGALHAES DISTRIBUIDORA DE MATERIAL DE CONSTRUCAO LTDA</t>
  </si>
  <si>
    <t>45.608.019 TAIS COUTINHO DA SILVA</t>
  </si>
  <si>
    <t>PRADO DISTRIBUICOES E SOLUCOES LTDA</t>
  </si>
  <si>
    <t>DMGR COMERCIO DE MAQUINAS E EQUIPAMENTOS INDUSTRIAIS LTDA</t>
  </si>
  <si>
    <t>GONCALVES EMPREENDIMENTOS COMERCIAIS LTDA</t>
  </si>
  <si>
    <t>NOVA VIDA COMERCIAL E IMPORT LTDA</t>
  </si>
  <si>
    <t>SUN 7 COMERCIAL E SERVICOS LTDA</t>
  </si>
  <si>
    <t>ACLARA COMERCIO DE INFORMATICA LTDA</t>
  </si>
  <si>
    <t>OLMIR IORIS &amp; CIA LTDA</t>
  </si>
  <si>
    <t>VIA LUMEN'S AUDIO, VIDEO E INFORMATICA LTDA</t>
  </si>
  <si>
    <t>INDUSAT INDUSTRIA E COMERCIO LTDA</t>
  </si>
  <si>
    <t>CUNHA &amp; SVAIGEN CONSULTORIA E LICITACOES LTDA</t>
  </si>
  <si>
    <t>LE BISCUIT</t>
  </si>
  <si>
    <t>PHILCO</t>
  </si>
  <si>
    <t>CASAS BAHIA</t>
  </si>
  <si>
    <t>PONTO FRIO</t>
  </si>
  <si>
    <t>TCL</t>
  </si>
  <si>
    <t>AMAZON</t>
  </si>
  <si>
    <t>ELETROKOCH</t>
  </si>
  <si>
    <t>LOJAS GUAIBIM</t>
  </si>
  <si>
    <t>GIRAFA</t>
  </si>
  <si>
    <t>PRIME NEGÓCIOS INTELIGENTES</t>
  </si>
  <si>
    <t>NET COMPUTADORES</t>
  </si>
  <si>
    <t>TI MIX</t>
  </si>
  <si>
    <t>MULTIBAR</t>
  </si>
  <si>
    <t>MAGAZINE LUIZA</t>
  </si>
  <si>
    <t>FRIGELAR</t>
  </si>
  <si>
    <t>UNILAR</t>
  </si>
  <si>
    <t>GAZIN</t>
  </si>
  <si>
    <t>FERREIRA COSTA</t>
  </si>
  <si>
    <t>AMERICANAS</t>
  </si>
  <si>
    <t>ÁGUA VIDA PURIFICADORES</t>
  </si>
  <si>
    <t>LEROY MERLIN</t>
  </si>
  <si>
    <t>LOJA DO BEBEDOURO</t>
  </si>
  <si>
    <t>NARCEL</t>
  </si>
  <si>
    <t>CLIMA RIO</t>
  </si>
  <si>
    <t>DK MÁQUINAS</t>
  </si>
  <si>
    <t>BEER MAIM FILTROS</t>
  </si>
  <si>
    <t>OCEANO B2B</t>
  </si>
  <si>
    <t>APIGUANA</t>
  </si>
  <si>
    <t>VENTISOL</t>
  </si>
  <si>
    <t>DIAFER</t>
  </si>
  <si>
    <t>HIPERFER</t>
  </si>
  <si>
    <t>VENTO E CIA VENTILADORES</t>
  </si>
  <si>
    <t>PRINCE VENTILADORES</t>
  </si>
  <si>
    <t>LOJA DO MECÂNICO</t>
  </si>
  <si>
    <t>ANHANGUERA FERRAMENTAS</t>
  </si>
  <si>
    <t>COPAFER</t>
  </si>
  <si>
    <t>ULTRA MÁQUINAS</t>
  </si>
  <si>
    <t>TECH INN</t>
  </si>
  <si>
    <t>SCAR COM</t>
  </si>
  <si>
    <t>SHOP BETTER</t>
  </si>
  <si>
    <t>TOPTEN</t>
  </si>
  <si>
    <t>CASA E VIDEO</t>
  </si>
  <si>
    <t>quantidade de lotes</t>
  </si>
  <si>
    <t>total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</si>
</sst>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0;\-0;\-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/>
    <xf numFmtId="0" fontId="8" fillId="2" borderId="3" xfId="0" applyFont="1" applyFill="1" applyBorder="1" applyAlignment="1">
      <alignment horizontal="right"/>
    </xf>
    <xf numFmtId="44" fontId="8" fillId="2" borderId="4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/>
    <xf numFmtId="164" fontId="2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8" fillId="2" borderId="7" xfId="0" applyFont="1" applyFill="1" applyBorder="1" applyAlignment="1">
      <alignment horizontal="left"/>
    </xf>
    <xf numFmtId="0" fontId="8" fillId="2" borderId="8" xfId="0" applyFont="1" applyFill="1" applyBorder="1" applyAlignment="1">
      <alignment horizontal="left"/>
    </xf>
    <xf numFmtId="44" fontId="8" fillId="2" borderId="6" xfId="0" applyNumberFormat="1" applyFont="1" applyFill="1" applyBorder="1"/>
    <xf numFmtId="0" fontId="8" fillId="2" borderId="6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 wrapText="1"/>
    </xf>
    <xf numFmtId="0" fontId="8" fillId="2" borderId="9" xfId="0" applyFont="1" applyFill="1" applyBorder="1" applyAlignment="1">
      <alignment horizontal="left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1"/>
  <sheetViews>
    <sheetView view="pageBreakPreview" zoomScaleNormal="100" zoomScaleSheetLayoutView="100" workbookViewId="0">
      <selection activeCell="G3" sqref="G3:H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1</v>
      </c>
      <c r="B3" s="30" t="s">
        <v>65</v>
      </c>
      <c r="C3" s="32" t="s">
        <v>7</v>
      </c>
      <c r="D3" s="32">
        <f>(120+20)*0.75</f>
        <v>105</v>
      </c>
      <c r="E3" s="33">
        <f>IF(C20&lt;=25%,D20,MIN(E20:F20))</f>
        <v>1024.54</v>
      </c>
      <c r="F3" s="33">
        <f>MIN(H3:H17)</f>
        <v>933.21</v>
      </c>
      <c r="G3" s="5" t="s">
        <v>222</v>
      </c>
      <c r="H3" s="16">
        <v>933.21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223</v>
      </c>
      <c r="H4" s="16">
        <v>1049.9000000000001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224</v>
      </c>
      <c r="H5" s="16">
        <v>996.55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225</v>
      </c>
      <c r="H6" s="16">
        <v>1044.05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226</v>
      </c>
      <c r="H7" s="16">
        <v>1099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62.635194339923615</v>
      </c>
      <c r="B20" s="8">
        <f>COUNT(H3:H17)</f>
        <v>5</v>
      </c>
      <c r="C20" s="9">
        <f>IF(B20&lt;2,"n/a",(A20/D20))</f>
        <v>6.1134942842567021E-2</v>
      </c>
      <c r="D20" s="10">
        <f>IFERROR(ROUND(AVERAGE(H3:H17),2),"")</f>
        <v>1024.54</v>
      </c>
      <c r="E20" s="15" t="str">
        <f>IFERROR(ROUND(IF(B20&lt;2,"n/a",(IF(C20&lt;=25%,"n/a",AVERAGE(I3:I17)))),2),"n/a")</f>
        <v>n/a</v>
      </c>
      <c r="F20" s="10">
        <f>IFERROR(ROUND(MEDIAN(H3:H17),2),"")</f>
        <v>1044.05</v>
      </c>
      <c r="G20" s="11" t="str">
        <f>IFERROR(INDEX(G3:G17,MATCH(H20,H3:H17,0)),"")</f>
        <v>LE BISCUIT</v>
      </c>
      <c r="H20" s="12">
        <f>F3</f>
        <v>933.21</v>
      </c>
    </row>
    <row r="22" spans="1:9" x14ac:dyDescent="0.25">
      <c r="G22" s="13" t="s">
        <v>20</v>
      </c>
      <c r="H22" s="14">
        <f>IF(C20&lt;=25%,D20,MIN(E20:F20))</f>
        <v>1024.54</v>
      </c>
    </row>
    <row r="23" spans="1:9" x14ac:dyDescent="0.25">
      <c r="G23" s="13" t="s">
        <v>6</v>
      </c>
      <c r="H23" s="14">
        <f>ROUND(H22,2)*D3</f>
        <v>107576.7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0" sqref="H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10</v>
      </c>
      <c r="B3" s="30" t="s">
        <v>43</v>
      </c>
      <c r="C3" s="32" t="s">
        <v>7</v>
      </c>
      <c r="D3" s="32">
        <v>40</v>
      </c>
      <c r="E3" s="33">
        <f>IF(C20&lt;=25%,D20,MIN(E20:F20))</f>
        <v>1146.03</v>
      </c>
      <c r="F3" s="33">
        <f>MIN(H3:H17)</f>
        <v>976</v>
      </c>
      <c r="G3" s="5" t="s">
        <v>110</v>
      </c>
      <c r="H3" s="16">
        <v>976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116</v>
      </c>
      <c r="H4" s="16">
        <v>1119.3900000000001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107</v>
      </c>
      <c r="H5" s="16">
        <v>1145.8699999999999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117</v>
      </c>
      <c r="H6" s="16">
        <v>1150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104</v>
      </c>
      <c r="H7" s="16">
        <v>1150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118</v>
      </c>
      <c r="H8" s="16">
        <v>1210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 t="s">
        <v>114</v>
      </c>
      <c r="H9" s="16">
        <v>1270.92</v>
      </c>
      <c r="I9" s="17" t="str">
        <f t="shared" si="0"/>
        <v>n/a</v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90.683617384314587</v>
      </c>
      <c r="B20" s="8">
        <f>COUNT(H3:H17)</f>
        <v>7</v>
      </c>
      <c r="C20" s="9">
        <f>IF(B20&lt;2,"n/a",(A20/D20))</f>
        <v>7.9128484755472878E-2</v>
      </c>
      <c r="D20" s="10">
        <f>IFERROR(ROUND(AVERAGE(H3:H17),2),"")</f>
        <v>1146.03</v>
      </c>
      <c r="E20" s="15" t="str">
        <f>IFERROR(ROUND(IF(B20&lt;2,"n/a",(IF(C20&lt;=25%,"n/a",AVERAGE(I3:I17)))),2),"n/a")</f>
        <v>n/a</v>
      </c>
      <c r="F20" s="10">
        <f>IFERROR(ROUND(MEDIAN(H3:H17),2),"")</f>
        <v>1150</v>
      </c>
      <c r="G20" s="11" t="str">
        <f>IFERROR(INDEX(G3:G17,MATCH(H20,H3:H17,0)),"")</f>
        <v>LUZOR GROUP LTDA</v>
      </c>
      <c r="H20" s="12">
        <f>F3</f>
        <v>976</v>
      </c>
    </row>
    <row r="22" spans="1:9" x14ac:dyDescent="0.25">
      <c r="G22" s="13" t="s">
        <v>20</v>
      </c>
      <c r="H22" s="14">
        <f>IF(C20&lt;=25%,D20,MIN(E20:F20))</f>
        <v>1146.03</v>
      </c>
    </row>
    <row r="23" spans="1:9" x14ac:dyDescent="0.25">
      <c r="G23" s="13" t="s">
        <v>6</v>
      </c>
      <c r="H23" s="14">
        <f>ROUND(H22,2)*D3</f>
        <v>45841.2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11</v>
      </c>
      <c r="B3" s="30" t="s">
        <v>44</v>
      </c>
      <c r="C3" s="32" t="s">
        <v>7</v>
      </c>
      <c r="D3" s="32">
        <v>50</v>
      </c>
      <c r="E3" s="33">
        <f>IF(C20&lt;=25%,D20,MIN(E20:F20))</f>
        <v>699.23</v>
      </c>
      <c r="F3" s="33">
        <f>MIN(H3:H17)</f>
        <v>575.99</v>
      </c>
      <c r="G3" s="5" t="s">
        <v>234</v>
      </c>
      <c r="H3" s="16">
        <v>1278.5999999999999</v>
      </c>
      <c r="I3" s="17" t="str">
        <f>IF(H3="","",(IF($C$20&lt;25%,"n/a",IF(H3&lt;=($D$20+$A$20),H3,"Descartado"))))</f>
        <v>Descartado</v>
      </c>
    </row>
    <row r="4" spans="1:9" x14ac:dyDescent="0.25">
      <c r="A4" s="34"/>
      <c r="B4" s="31"/>
      <c r="C4" s="32"/>
      <c r="D4" s="32"/>
      <c r="E4" s="33"/>
      <c r="F4" s="33"/>
      <c r="G4" s="5" t="s">
        <v>235</v>
      </c>
      <c r="H4" s="16">
        <v>1523.29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4"/>
      <c r="B5" s="31"/>
      <c r="C5" s="32"/>
      <c r="D5" s="32"/>
      <c r="E5" s="33"/>
      <c r="F5" s="33"/>
      <c r="G5" s="5" t="s">
        <v>236</v>
      </c>
      <c r="H5" s="16">
        <v>729</v>
      </c>
      <c r="I5" s="17">
        <f t="shared" si="0"/>
        <v>729</v>
      </c>
    </row>
    <row r="6" spans="1:9" x14ac:dyDescent="0.25">
      <c r="A6" s="34"/>
      <c r="B6" s="31"/>
      <c r="C6" s="32"/>
      <c r="D6" s="32"/>
      <c r="E6" s="33"/>
      <c r="F6" s="33"/>
      <c r="G6" s="5" t="s">
        <v>222</v>
      </c>
      <c r="H6" s="16">
        <v>729</v>
      </c>
      <c r="I6" s="17">
        <f t="shared" si="0"/>
        <v>729</v>
      </c>
    </row>
    <row r="7" spans="1:9" x14ac:dyDescent="0.25">
      <c r="A7" s="34"/>
      <c r="B7" s="31"/>
      <c r="C7" s="32"/>
      <c r="D7" s="32"/>
      <c r="E7" s="33"/>
      <c r="F7" s="33"/>
      <c r="G7" s="5" t="s">
        <v>237</v>
      </c>
      <c r="H7" s="16">
        <v>575.99</v>
      </c>
      <c r="I7" s="17">
        <f t="shared" si="0"/>
        <v>575.99</v>
      </c>
    </row>
    <row r="8" spans="1:9" x14ac:dyDescent="0.25">
      <c r="A8" s="34"/>
      <c r="B8" s="31"/>
      <c r="C8" s="32"/>
      <c r="D8" s="32"/>
      <c r="E8" s="33"/>
      <c r="F8" s="33"/>
      <c r="G8" s="5" t="s">
        <v>238</v>
      </c>
      <c r="H8" s="16">
        <v>689.9</v>
      </c>
      <c r="I8" s="17">
        <f t="shared" si="0"/>
        <v>689.9</v>
      </c>
    </row>
    <row r="9" spans="1:9" x14ac:dyDescent="0.25">
      <c r="A9" s="34"/>
      <c r="B9" s="31"/>
      <c r="C9" s="32"/>
      <c r="D9" s="32"/>
      <c r="E9" s="33"/>
      <c r="F9" s="33"/>
      <c r="G9" s="5" t="s">
        <v>239</v>
      </c>
      <c r="H9" s="16">
        <v>772.26</v>
      </c>
      <c r="I9" s="17">
        <f t="shared" si="0"/>
        <v>772.26</v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354.90652126064629</v>
      </c>
      <c r="B20" s="8">
        <f>COUNT(H3:H17)</f>
        <v>7</v>
      </c>
      <c r="C20" s="9">
        <f>IF(B20&lt;2,"n/a",(A20/D20))</f>
        <v>0.39446330109439187</v>
      </c>
      <c r="D20" s="10">
        <f>IFERROR(ROUND(AVERAGE(H3:H17),2),"")</f>
        <v>899.72</v>
      </c>
      <c r="E20" s="15">
        <f>IFERROR(ROUND(IF(B20&lt;2,"n/a",(IF(C20&lt;=25%,"n/a",AVERAGE(I3:I17)))),2),"n/a")</f>
        <v>699.23</v>
      </c>
      <c r="F20" s="10">
        <f>IFERROR(ROUND(MEDIAN(H3:H17),2),"")</f>
        <v>729</v>
      </c>
      <c r="G20" s="11" t="str">
        <f>IFERROR(INDEX(G3:G17,MATCH(H20,H3:H17,0)),"")</f>
        <v>UNILAR</v>
      </c>
      <c r="H20" s="12">
        <f>F3</f>
        <v>575.99</v>
      </c>
    </row>
    <row r="22" spans="1:9" x14ac:dyDescent="0.25">
      <c r="G22" s="13" t="s">
        <v>20</v>
      </c>
      <c r="H22" s="14">
        <f>IF(C20&lt;=25%,D20,MIN(E20:F20))</f>
        <v>699.23</v>
      </c>
    </row>
    <row r="23" spans="1:9" x14ac:dyDescent="0.25">
      <c r="G23" s="13" t="s">
        <v>6</v>
      </c>
      <c r="H23" s="14">
        <f>ROUND(H22,2)*D3</f>
        <v>34961.5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12</v>
      </c>
      <c r="B3" s="30" t="s">
        <v>45</v>
      </c>
      <c r="C3" s="32" t="s">
        <v>7</v>
      </c>
      <c r="D3" s="32">
        <f>20+50</f>
        <v>70</v>
      </c>
      <c r="E3" s="33">
        <f>IF(C20&lt;=25%,D20,MIN(E20:F20))</f>
        <v>908.39</v>
      </c>
      <c r="F3" s="33">
        <f>MIN(H3:H17)</f>
        <v>729</v>
      </c>
      <c r="G3" s="5" t="s">
        <v>227</v>
      </c>
      <c r="H3" s="16">
        <v>998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235</v>
      </c>
      <c r="H4" s="16">
        <v>809.1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240</v>
      </c>
      <c r="H5" s="16">
        <v>806.87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241</v>
      </c>
      <c r="H6" s="16">
        <v>1199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236</v>
      </c>
      <c r="H7" s="16">
        <v>729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190.28249441291283</v>
      </c>
      <c r="B20" s="8">
        <f>COUNT(H3:H17)</f>
        <v>5</v>
      </c>
      <c r="C20" s="9">
        <f>IF(B20&lt;2,"n/a",(A20/D20))</f>
        <v>0.20947224695660766</v>
      </c>
      <c r="D20" s="10">
        <f>IFERROR(ROUND(AVERAGE(H3:H17),2),"")</f>
        <v>908.39</v>
      </c>
      <c r="E20" s="15" t="str">
        <f>IFERROR(ROUND(IF(B20&lt;2,"n/a",(IF(C20&lt;=25%,"n/a",AVERAGE(I3:I17)))),2),"n/a")</f>
        <v>n/a</v>
      </c>
      <c r="F20" s="10">
        <f>IFERROR(ROUND(MEDIAN(H3:H17),2),"")</f>
        <v>809.1</v>
      </c>
      <c r="G20" s="11" t="str">
        <f>IFERROR(INDEX(G3:G17,MATCH(H20,H3:H17,0)),"")</f>
        <v>FRIGELAR</v>
      </c>
      <c r="H20" s="12">
        <f>F3</f>
        <v>729</v>
      </c>
    </row>
    <row r="22" spans="1:9" x14ac:dyDescent="0.25">
      <c r="G22" s="13" t="s">
        <v>20</v>
      </c>
      <c r="H22" s="14">
        <f>IF(C20&lt;=25%,D20,MIN(E20:F20))</f>
        <v>908.39</v>
      </c>
    </row>
    <row r="23" spans="1:9" x14ac:dyDescent="0.25">
      <c r="G23" s="13" t="s">
        <v>6</v>
      </c>
      <c r="H23" s="14">
        <f>ROUND(H22,2)*D3</f>
        <v>63587.299999999996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I9" sqref="I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13</v>
      </c>
      <c r="B3" s="30" t="s">
        <v>46</v>
      </c>
      <c r="C3" s="32" t="s">
        <v>7</v>
      </c>
      <c r="D3" s="32">
        <v>20</v>
      </c>
      <c r="E3" s="33">
        <f>IF(C20&lt;=25%,D20,MIN(E20:F20))</f>
        <v>815.62</v>
      </c>
      <c r="F3" s="33">
        <f>MIN(H3:H17)</f>
        <v>680</v>
      </c>
      <c r="G3" s="5" t="s">
        <v>119</v>
      </c>
      <c r="H3" s="16">
        <v>680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120</v>
      </c>
      <c r="H4" s="16">
        <v>730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121</v>
      </c>
      <c r="H5" s="16">
        <v>746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122</v>
      </c>
      <c r="H6" s="16">
        <v>787.05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123</v>
      </c>
      <c r="H7" s="16">
        <v>787.27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124</v>
      </c>
      <c r="H8" s="16">
        <v>852.99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 t="s">
        <v>78</v>
      </c>
      <c r="H9" s="16">
        <v>1126</v>
      </c>
      <c r="I9" s="17" t="str">
        <f t="shared" si="0"/>
        <v>n/a</v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147.15226907947371</v>
      </c>
      <c r="B20" s="8">
        <f>COUNT(H3:H17)</f>
        <v>7</v>
      </c>
      <c r="C20" s="9">
        <f>IF(B20&lt;2,"n/a",(A20/D20))</f>
        <v>0.18041768112536929</v>
      </c>
      <c r="D20" s="10">
        <f>IFERROR(ROUND(AVERAGE(H3:H17),2),"")</f>
        <v>815.62</v>
      </c>
      <c r="E20" s="15" t="str">
        <f>IFERROR(ROUND(IF(B20&lt;2,"n/a",(IF(C20&lt;=25%,"n/a",AVERAGE(I3:I17)))),2),"n/a")</f>
        <v>n/a</v>
      </c>
      <c r="F20" s="10">
        <f>IFERROR(ROUND(MEDIAN(H3:H17),2),"")</f>
        <v>787.05</v>
      </c>
      <c r="G20" s="11" t="str">
        <f>IFERROR(INDEX(G3:G17,MATCH(H20,H3:H17,0)),"")</f>
        <v>PRIMER SOLUCOES LTDA</v>
      </c>
      <c r="H20" s="12">
        <f>F3</f>
        <v>680</v>
      </c>
    </row>
    <row r="22" spans="1:9" x14ac:dyDescent="0.25">
      <c r="G22" s="13" t="s">
        <v>20</v>
      </c>
      <c r="H22" s="14">
        <f>IF(C20&lt;=25%,D20,MIN(E20:F20))</f>
        <v>815.62</v>
      </c>
    </row>
    <row r="23" spans="1:9" x14ac:dyDescent="0.25">
      <c r="G23" s="13" t="s">
        <v>6</v>
      </c>
      <c r="H23" s="14">
        <f>ROUND(H22,2)*D3</f>
        <v>16312.4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14</v>
      </c>
      <c r="B3" s="30" t="s">
        <v>47</v>
      </c>
      <c r="C3" s="32" t="s">
        <v>7</v>
      </c>
      <c r="D3" s="32">
        <v>20</v>
      </c>
      <c r="E3" s="33">
        <f>IF(C20&lt;=25%,D20,MIN(E20:F20))</f>
        <v>1141.0899999999999</v>
      </c>
      <c r="F3" s="33">
        <f>MIN(H3:H17)</f>
        <v>935.1</v>
      </c>
      <c r="G3" s="5" t="s">
        <v>236</v>
      </c>
      <c r="H3" s="16">
        <v>1189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243</v>
      </c>
      <c r="H4" s="16">
        <v>1019.92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244</v>
      </c>
      <c r="H5" s="16">
        <v>1320.5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245</v>
      </c>
      <c r="H6" s="16">
        <v>935.1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246</v>
      </c>
      <c r="H7" s="16">
        <v>1099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247</v>
      </c>
      <c r="H8" s="16">
        <v>1283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150.67009081654695</v>
      </c>
      <c r="B20" s="8">
        <f>COUNT(H3:H17)</f>
        <v>6</v>
      </c>
      <c r="C20" s="9">
        <f>IF(B20&lt;2,"n/a",(A20/D20))</f>
        <v>0.13204049708309332</v>
      </c>
      <c r="D20" s="10">
        <f>IFERROR(ROUND(AVERAGE(H3:H17),2),"")</f>
        <v>1141.0899999999999</v>
      </c>
      <c r="E20" s="15" t="str">
        <f>IFERROR(ROUND(IF(B20&lt;2,"n/a",(IF(C20&lt;=25%,"n/a",AVERAGE(I3:I17)))),2),"n/a")</f>
        <v>n/a</v>
      </c>
      <c r="F20" s="10">
        <f>IFERROR(ROUND(MEDIAN(H3:H17),2),"")</f>
        <v>1144</v>
      </c>
      <c r="G20" s="11" t="str">
        <f>IFERROR(INDEX(G3:G17,MATCH(H20,H3:H17,0)),"")</f>
        <v>CLIMA RIO</v>
      </c>
      <c r="H20" s="12">
        <f>F3</f>
        <v>935.1</v>
      </c>
    </row>
    <row r="22" spans="1:9" x14ac:dyDescent="0.25">
      <c r="G22" s="13" t="s">
        <v>20</v>
      </c>
      <c r="H22" s="14">
        <f>IF(C20&lt;=25%,D20,MIN(E20:F20))</f>
        <v>1141.0899999999999</v>
      </c>
    </row>
    <row r="23" spans="1:9" x14ac:dyDescent="0.25">
      <c r="G23" s="13" t="s">
        <v>6</v>
      </c>
      <c r="H23" s="14">
        <f>ROUND(H22,2)*D3</f>
        <v>22821.8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1" sqref="H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15</v>
      </c>
      <c r="B3" s="30" t="s">
        <v>67</v>
      </c>
      <c r="C3" s="32" t="s">
        <v>7</v>
      </c>
      <c r="D3" s="32">
        <v>100</v>
      </c>
      <c r="E3" s="33">
        <f>IF(C20&lt;=25%,D20,MIN(E20:F20))</f>
        <v>397.42</v>
      </c>
      <c r="F3" s="33">
        <f>MIN(H3:H17)</f>
        <v>259.89999999999998</v>
      </c>
      <c r="G3" s="5" t="s">
        <v>248</v>
      </c>
      <c r="H3" s="16">
        <v>259.89999999999998</v>
      </c>
      <c r="I3" s="17">
        <f>IF(H3="","",(IF($C$20&lt;25%,"n/a",IF(H3&lt;=($D$20+$A$20),H3,"Descartado"))))</f>
        <v>259.89999999999998</v>
      </c>
    </row>
    <row r="4" spans="1:9" x14ac:dyDescent="0.25">
      <c r="A4" s="34"/>
      <c r="B4" s="31"/>
      <c r="C4" s="32"/>
      <c r="D4" s="32"/>
      <c r="E4" s="33"/>
      <c r="F4" s="33"/>
      <c r="G4" s="5" t="s">
        <v>244</v>
      </c>
      <c r="H4" s="16">
        <v>413.25</v>
      </c>
      <c r="I4" s="17">
        <f t="shared" ref="I4:I17" si="0">IF(H4="","",(IF($C$20&lt;25%,"n/a",IF(H4&lt;=($D$20+$A$20),H4,"Descartado"))))</f>
        <v>413.25</v>
      </c>
    </row>
    <row r="5" spans="1:9" x14ac:dyDescent="0.25">
      <c r="A5" s="34"/>
      <c r="B5" s="31"/>
      <c r="C5" s="32"/>
      <c r="D5" s="32"/>
      <c r="E5" s="33"/>
      <c r="F5" s="33"/>
      <c r="G5" s="5" t="s">
        <v>249</v>
      </c>
      <c r="H5" s="16">
        <v>300.32</v>
      </c>
      <c r="I5" s="17">
        <f t="shared" si="0"/>
        <v>300.32</v>
      </c>
    </row>
    <row r="6" spans="1:9" x14ac:dyDescent="0.25">
      <c r="A6" s="34"/>
      <c r="B6" s="31"/>
      <c r="C6" s="32"/>
      <c r="D6" s="32"/>
      <c r="E6" s="33"/>
      <c r="F6" s="33"/>
      <c r="G6" s="5" t="s">
        <v>242</v>
      </c>
      <c r="H6" s="16">
        <v>611.97</v>
      </c>
      <c r="I6" s="17" t="str">
        <f t="shared" si="0"/>
        <v>Descartado</v>
      </c>
    </row>
    <row r="7" spans="1:9" x14ac:dyDescent="0.25">
      <c r="A7" s="34"/>
      <c r="B7" s="31"/>
      <c r="C7" s="32"/>
      <c r="D7" s="32"/>
      <c r="E7" s="33"/>
      <c r="F7" s="33"/>
      <c r="G7" s="5" t="s">
        <v>250</v>
      </c>
      <c r="H7" s="16">
        <v>533.4</v>
      </c>
      <c r="I7" s="17">
        <f t="shared" si="0"/>
        <v>533.4</v>
      </c>
    </row>
    <row r="8" spans="1:9" x14ac:dyDescent="0.25">
      <c r="A8" s="34"/>
      <c r="B8" s="31"/>
      <c r="C8" s="32"/>
      <c r="D8" s="32"/>
      <c r="E8" s="33"/>
      <c r="F8" s="33"/>
      <c r="G8" s="5" t="s">
        <v>251</v>
      </c>
      <c r="H8" s="16">
        <v>369.55</v>
      </c>
      <c r="I8" s="17">
        <f t="shared" si="0"/>
        <v>369.55</v>
      </c>
    </row>
    <row r="9" spans="1:9" x14ac:dyDescent="0.25">
      <c r="A9" s="34"/>
      <c r="B9" s="31"/>
      <c r="C9" s="32"/>
      <c r="D9" s="32"/>
      <c r="E9" s="33"/>
      <c r="F9" s="33"/>
      <c r="G9" s="5" t="s">
        <v>252</v>
      </c>
      <c r="H9" s="16">
        <v>358.26</v>
      </c>
      <c r="I9" s="17">
        <f t="shared" si="0"/>
        <v>358.26</v>
      </c>
    </row>
    <row r="10" spans="1:9" x14ac:dyDescent="0.25">
      <c r="A10" s="34"/>
      <c r="B10" s="31"/>
      <c r="C10" s="32"/>
      <c r="D10" s="32"/>
      <c r="E10" s="33"/>
      <c r="F10" s="33"/>
      <c r="G10" s="5" t="s">
        <v>227</v>
      </c>
      <c r="H10" s="16">
        <v>469.9</v>
      </c>
      <c r="I10" s="17">
        <f t="shared" si="0"/>
        <v>469.9</v>
      </c>
    </row>
    <row r="11" spans="1:9" x14ac:dyDescent="0.25">
      <c r="A11" s="34"/>
      <c r="B11" s="31"/>
      <c r="C11" s="32"/>
      <c r="D11" s="32"/>
      <c r="E11" s="33"/>
      <c r="F11" s="33"/>
      <c r="G11" s="5" t="s">
        <v>253</v>
      </c>
      <c r="H11" s="16">
        <v>474.81</v>
      </c>
      <c r="I11" s="17">
        <f t="shared" si="0"/>
        <v>474.81</v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112.66640645926522</v>
      </c>
      <c r="B20" s="8">
        <f>COUNT(H3:H17)</f>
        <v>9</v>
      </c>
      <c r="C20" s="9">
        <f>IF(B20&lt;2,"n/a",(A20/D20))</f>
        <v>0.26745099572536019</v>
      </c>
      <c r="D20" s="10">
        <f>IFERROR(ROUND(AVERAGE(H3:H17),2),"")</f>
        <v>421.26</v>
      </c>
      <c r="E20" s="15">
        <f>IFERROR(ROUND(IF(B20&lt;2,"n/a",(IF(C20&lt;=25%,"n/a",AVERAGE(I3:I17)))),2),"n/a")</f>
        <v>397.42</v>
      </c>
      <c r="F20" s="10">
        <f>IFERROR(ROUND(MEDIAN(H3:H17),2),"")</f>
        <v>413.25</v>
      </c>
      <c r="G20" s="11" t="str">
        <f>IFERROR(INDEX(G3:G17,MATCH(H20,H3:H17,0)),"")</f>
        <v>OCEANO B2B</v>
      </c>
      <c r="H20" s="12">
        <f>F3</f>
        <v>259.89999999999998</v>
      </c>
    </row>
    <row r="22" spans="1:9" x14ac:dyDescent="0.25">
      <c r="G22" s="13" t="s">
        <v>20</v>
      </c>
      <c r="H22" s="14">
        <f>IF(C20&lt;=25%,D20,MIN(E20:F20))</f>
        <v>397.42</v>
      </c>
    </row>
    <row r="23" spans="1:9" x14ac:dyDescent="0.25">
      <c r="G23" s="13" t="s">
        <v>6</v>
      </c>
      <c r="H23" s="14">
        <f>ROUND(H22,2)*D3</f>
        <v>39742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16</v>
      </c>
      <c r="B3" s="30" t="s">
        <v>48</v>
      </c>
      <c r="C3" s="32" t="s">
        <v>7</v>
      </c>
      <c r="D3" s="32">
        <v>5</v>
      </c>
      <c r="E3" s="33">
        <f>IF(C20&lt;=25%,D20,MIN(E20:F20))</f>
        <v>2546.48</v>
      </c>
      <c r="F3" s="33">
        <f>MIN(H3:H17)</f>
        <v>2334.89</v>
      </c>
      <c r="G3" s="5" t="s">
        <v>125</v>
      </c>
      <c r="H3" s="16">
        <v>2334.89</v>
      </c>
      <c r="I3" s="17">
        <f>IF(H3="","",(IF($C$20&lt;25%,"n/a",IF(H3&lt;=($D$20+$A$20),H3,"Descartado"))))</f>
        <v>2334.89</v>
      </c>
    </row>
    <row r="4" spans="1:9" x14ac:dyDescent="0.25">
      <c r="A4" s="34"/>
      <c r="B4" s="31"/>
      <c r="C4" s="32"/>
      <c r="D4" s="32"/>
      <c r="E4" s="33"/>
      <c r="F4" s="33"/>
      <c r="G4" s="5" t="s">
        <v>126</v>
      </c>
      <c r="H4" s="16">
        <v>2372</v>
      </c>
      <c r="I4" s="17">
        <f t="shared" ref="I4:I17" si="0">IF(H4="","",(IF($C$20&lt;25%,"n/a",IF(H4&lt;=($D$20+$A$20),H4,"Descartado"))))</f>
        <v>2372</v>
      </c>
    </row>
    <row r="5" spans="1:9" x14ac:dyDescent="0.25">
      <c r="A5" s="34"/>
      <c r="B5" s="31"/>
      <c r="C5" s="32"/>
      <c r="D5" s="32"/>
      <c r="E5" s="33"/>
      <c r="F5" s="33"/>
      <c r="G5" s="5" t="s">
        <v>127</v>
      </c>
      <c r="H5" s="16">
        <v>2600</v>
      </c>
      <c r="I5" s="17">
        <f t="shared" si="0"/>
        <v>2600</v>
      </c>
    </row>
    <row r="6" spans="1:9" x14ac:dyDescent="0.25">
      <c r="A6" s="34"/>
      <c r="B6" s="31"/>
      <c r="C6" s="32"/>
      <c r="D6" s="32"/>
      <c r="E6" s="33"/>
      <c r="F6" s="33"/>
      <c r="G6" s="5" t="s">
        <v>128</v>
      </c>
      <c r="H6" s="16">
        <v>2879.04</v>
      </c>
      <c r="I6" s="17">
        <f t="shared" si="0"/>
        <v>2879.04</v>
      </c>
    </row>
    <row r="7" spans="1:9" x14ac:dyDescent="0.25">
      <c r="A7" s="34"/>
      <c r="B7" s="31"/>
      <c r="C7" s="32"/>
      <c r="D7" s="32"/>
      <c r="E7" s="33"/>
      <c r="F7" s="33"/>
      <c r="G7" s="5" t="s">
        <v>129</v>
      </c>
      <c r="H7" s="16">
        <v>4700</v>
      </c>
      <c r="I7" s="17" t="str">
        <f t="shared" si="0"/>
        <v>Descartado</v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987.26696499984189</v>
      </c>
      <c r="B20" s="8">
        <f>COUNT(H3:H17)</f>
        <v>5</v>
      </c>
      <c r="C20" s="9">
        <f>IF(B20&lt;2,"n/a",(A20/D20))</f>
        <v>0.33161033222597208</v>
      </c>
      <c r="D20" s="10">
        <f>IFERROR(ROUND(AVERAGE(H3:H17),2),"")</f>
        <v>2977.19</v>
      </c>
      <c r="E20" s="15">
        <f>IFERROR(ROUND(IF(B20&lt;2,"n/a",(IF(C20&lt;=25%,"n/a",AVERAGE(I3:I17)))),2),"n/a")</f>
        <v>2546.48</v>
      </c>
      <c r="F20" s="10">
        <f>IFERROR(ROUND(MEDIAN(H3:H17),2),"")</f>
        <v>2600</v>
      </c>
      <c r="G20" s="11" t="str">
        <f>IFERROR(INDEX(G3:G17,MATCH(H20,H3:H17,0)),"")</f>
        <v>NOVA BRASIL LICITACOES LTDA</v>
      </c>
      <c r="H20" s="12">
        <f>F3</f>
        <v>2334.89</v>
      </c>
    </row>
    <row r="22" spans="1:9" x14ac:dyDescent="0.25">
      <c r="G22" s="13" t="s">
        <v>20</v>
      </c>
      <c r="H22" s="14">
        <f>IF(C20&lt;=25%,D20,MIN(E20:F20))</f>
        <v>2546.48</v>
      </c>
    </row>
    <row r="23" spans="1:9" x14ac:dyDescent="0.25">
      <c r="G23" s="13" t="s">
        <v>6</v>
      </c>
      <c r="H23" s="14">
        <f>ROUND(H22,2)*D3</f>
        <v>12732.4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17</v>
      </c>
      <c r="B3" s="30" t="s">
        <v>49</v>
      </c>
      <c r="C3" s="32" t="s">
        <v>7</v>
      </c>
      <c r="D3" s="32">
        <v>2</v>
      </c>
      <c r="E3" s="33">
        <f>IF(C20&lt;=25%,D20,MIN(E20:F20))</f>
        <v>2611.84</v>
      </c>
      <c r="F3" s="33">
        <f>MIN(H3:H17)</f>
        <v>2049</v>
      </c>
      <c r="G3" s="5" t="s">
        <v>128</v>
      </c>
      <c r="H3" s="16">
        <v>2049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119</v>
      </c>
      <c r="H4" s="16">
        <v>2258.91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130</v>
      </c>
      <c r="H5" s="16">
        <v>2649.33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131</v>
      </c>
      <c r="H6" s="16">
        <v>3001.96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132</v>
      </c>
      <c r="H7" s="16">
        <v>3100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456.41202618905521</v>
      </c>
      <c r="B20" s="8">
        <f>COUNT(H3:H17)</f>
        <v>5</v>
      </c>
      <c r="C20" s="9">
        <f>IF(B20&lt;2,"n/a",(A20/D20))</f>
        <v>0.17474731460926213</v>
      </c>
      <c r="D20" s="10">
        <f>IFERROR(ROUND(AVERAGE(H3:H17),2),"")</f>
        <v>2611.84</v>
      </c>
      <c r="E20" s="15" t="str">
        <f>IFERROR(ROUND(IF(B20&lt;2,"n/a",(IF(C20&lt;=25%,"n/a",AVERAGE(I3:I17)))),2),"n/a")</f>
        <v>n/a</v>
      </c>
      <c r="F20" s="10">
        <f>IFERROR(ROUND(MEDIAN(H3:H17),2),"")</f>
        <v>2649.33</v>
      </c>
      <c r="G20" s="11" t="str">
        <f>IFERROR(INDEX(G3:G17,MATCH(H20,H3:H17,0)),"")</f>
        <v>PREMIER COMERCIO DE MATERIAIS E EQUIPAMENTOS LTDA</v>
      </c>
      <c r="H20" s="12">
        <f>F3</f>
        <v>2049</v>
      </c>
    </row>
    <row r="22" spans="1:9" x14ac:dyDescent="0.25">
      <c r="G22" s="13" t="s">
        <v>20</v>
      </c>
      <c r="H22" s="14">
        <f>IF(C20&lt;=25%,D20,MIN(E20:F20))</f>
        <v>2611.84</v>
      </c>
    </row>
    <row r="23" spans="1:9" x14ac:dyDescent="0.25">
      <c r="G23" s="13" t="s">
        <v>6</v>
      </c>
      <c r="H23" s="14">
        <f>ROUND(H22,2)*D3</f>
        <v>5223.68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I12" sqref="I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18</v>
      </c>
      <c r="B3" s="30" t="s">
        <v>50</v>
      </c>
      <c r="C3" s="32" t="s">
        <v>7</v>
      </c>
      <c r="D3" s="32">
        <v>3</v>
      </c>
      <c r="E3" s="33">
        <f>IF(C20&lt;=25%,D20,MIN(E20:F20))</f>
        <v>2987.07</v>
      </c>
      <c r="F3" s="33">
        <f>MIN(H3:H17)</f>
        <v>2161</v>
      </c>
      <c r="G3" s="5" t="s">
        <v>119</v>
      </c>
      <c r="H3" s="16">
        <v>2161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133</v>
      </c>
      <c r="H4" s="16">
        <v>2240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111</v>
      </c>
      <c r="H5" s="16">
        <v>2349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134</v>
      </c>
      <c r="H6" s="16">
        <v>2918.69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135</v>
      </c>
      <c r="H7" s="16">
        <v>3136.39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114</v>
      </c>
      <c r="H8" s="16">
        <v>3243.5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 t="s">
        <v>125</v>
      </c>
      <c r="H9" s="16">
        <v>3277.85</v>
      </c>
      <c r="I9" s="17" t="str">
        <f t="shared" si="0"/>
        <v>n/a</v>
      </c>
    </row>
    <row r="10" spans="1:9" x14ac:dyDescent="0.25">
      <c r="A10" s="34"/>
      <c r="B10" s="31"/>
      <c r="C10" s="32"/>
      <c r="D10" s="32"/>
      <c r="E10" s="33"/>
      <c r="F10" s="33"/>
      <c r="G10" s="5" t="s">
        <v>136</v>
      </c>
      <c r="H10" s="16">
        <v>3294.93</v>
      </c>
      <c r="I10" s="17" t="str">
        <f t="shared" si="0"/>
        <v>n/a</v>
      </c>
    </row>
    <row r="11" spans="1:9" x14ac:dyDescent="0.25">
      <c r="A11" s="34"/>
      <c r="B11" s="31"/>
      <c r="C11" s="32"/>
      <c r="D11" s="32"/>
      <c r="E11" s="33"/>
      <c r="F11" s="33"/>
      <c r="G11" s="5" t="s">
        <v>137</v>
      </c>
      <c r="H11" s="16">
        <v>3389.4</v>
      </c>
      <c r="I11" s="17" t="str">
        <f t="shared" si="0"/>
        <v>n/a</v>
      </c>
    </row>
    <row r="12" spans="1:9" x14ac:dyDescent="0.25">
      <c r="A12" s="34"/>
      <c r="B12" s="31"/>
      <c r="C12" s="32"/>
      <c r="D12" s="32"/>
      <c r="E12" s="33"/>
      <c r="F12" s="33"/>
      <c r="G12" s="5" t="s">
        <v>138</v>
      </c>
      <c r="H12" s="16">
        <v>3859.9</v>
      </c>
      <c r="I12" s="17" t="str">
        <f t="shared" si="0"/>
        <v>n/a</v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562.07943408975848</v>
      </c>
      <c r="B20" s="8">
        <f>COUNT(H3:H17)</f>
        <v>10</v>
      </c>
      <c r="C20" s="9">
        <f>IF(B20&lt;2,"n/a",(A20/D20))</f>
        <v>0.18817082763033957</v>
      </c>
      <c r="D20" s="10">
        <f>IFERROR(ROUND(AVERAGE(H3:H17),2),"")</f>
        <v>2987.07</v>
      </c>
      <c r="E20" s="15" t="str">
        <f>IFERROR(ROUND(IF(B20&lt;2,"n/a",(IF(C20&lt;=25%,"n/a",AVERAGE(I3:I17)))),2),"n/a")</f>
        <v>n/a</v>
      </c>
      <c r="F20" s="10">
        <f>IFERROR(ROUND(MEDIAN(H3:H17),2),"")</f>
        <v>3189.95</v>
      </c>
      <c r="G20" s="11" t="str">
        <f>IFERROR(INDEX(G3:G17,MATCH(H20,H3:H17,0)),"")</f>
        <v>PRIMER SOLUCOES LTDA</v>
      </c>
      <c r="H20" s="12">
        <f>F3</f>
        <v>2161</v>
      </c>
    </row>
    <row r="22" spans="1:9" x14ac:dyDescent="0.25">
      <c r="G22" s="13" t="s">
        <v>20</v>
      </c>
      <c r="H22" s="14">
        <f>IF(C20&lt;=25%,D20,MIN(E20:F20))</f>
        <v>2987.07</v>
      </c>
    </row>
    <row r="23" spans="1:9" x14ac:dyDescent="0.25">
      <c r="G23" s="13" t="s">
        <v>6</v>
      </c>
      <c r="H23" s="14">
        <f>ROUND(H22,2)*D3</f>
        <v>8961.2100000000009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19</v>
      </c>
      <c r="B3" s="30" t="s">
        <v>51</v>
      </c>
      <c r="C3" s="32" t="s">
        <v>7</v>
      </c>
      <c r="D3" s="32">
        <v>3</v>
      </c>
      <c r="E3" s="33">
        <f>IF(C20&lt;=25%,D20,MIN(E20:F20))</f>
        <v>3098.72</v>
      </c>
      <c r="F3" s="33">
        <f>MIN(H3:H17)</f>
        <v>2350</v>
      </c>
      <c r="G3" s="5" t="s">
        <v>133</v>
      </c>
      <c r="H3" s="16">
        <v>2350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119</v>
      </c>
      <c r="H4" s="16">
        <v>2470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139</v>
      </c>
      <c r="H5" s="16">
        <v>2700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140</v>
      </c>
      <c r="H6" s="16">
        <v>2730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141</v>
      </c>
      <c r="H7" s="16">
        <v>2787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142</v>
      </c>
      <c r="H8" s="16">
        <v>2918.69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 t="s">
        <v>130</v>
      </c>
      <c r="H9" s="16">
        <v>2944</v>
      </c>
      <c r="I9" s="17" t="str">
        <f t="shared" si="0"/>
        <v>n/a</v>
      </c>
    </row>
    <row r="10" spans="1:9" x14ac:dyDescent="0.25">
      <c r="A10" s="34"/>
      <c r="B10" s="31"/>
      <c r="C10" s="32"/>
      <c r="D10" s="32"/>
      <c r="E10" s="33"/>
      <c r="F10" s="33"/>
      <c r="G10" s="5" t="s">
        <v>125</v>
      </c>
      <c r="H10" s="16">
        <v>3270</v>
      </c>
      <c r="I10" s="17" t="str">
        <f t="shared" si="0"/>
        <v>n/a</v>
      </c>
    </row>
    <row r="11" spans="1:9" x14ac:dyDescent="0.25">
      <c r="A11" s="34"/>
      <c r="B11" s="31"/>
      <c r="C11" s="32"/>
      <c r="D11" s="32"/>
      <c r="E11" s="33"/>
      <c r="F11" s="33"/>
      <c r="G11" s="5" t="s">
        <v>143</v>
      </c>
      <c r="H11" s="16">
        <v>3500</v>
      </c>
      <c r="I11" s="17" t="str">
        <f t="shared" si="0"/>
        <v>n/a</v>
      </c>
    </row>
    <row r="12" spans="1:9" x14ac:dyDescent="0.25">
      <c r="A12" s="34"/>
      <c r="B12" s="31"/>
      <c r="C12" s="32"/>
      <c r="D12" s="32"/>
      <c r="E12" s="33"/>
      <c r="F12" s="33"/>
      <c r="G12" s="5" t="s">
        <v>137</v>
      </c>
      <c r="H12" s="16">
        <v>3524.48</v>
      </c>
      <c r="I12" s="17" t="str">
        <f t="shared" si="0"/>
        <v>n/a</v>
      </c>
    </row>
    <row r="13" spans="1:9" x14ac:dyDescent="0.25">
      <c r="A13" s="34"/>
      <c r="B13" s="31"/>
      <c r="C13" s="32"/>
      <c r="D13" s="32"/>
      <c r="E13" s="33"/>
      <c r="F13" s="33"/>
      <c r="G13" s="5" t="s">
        <v>113</v>
      </c>
      <c r="H13" s="16">
        <v>3800</v>
      </c>
      <c r="I13" s="17" t="str">
        <f t="shared" si="0"/>
        <v>n/a</v>
      </c>
    </row>
    <row r="14" spans="1:9" x14ac:dyDescent="0.25">
      <c r="A14" s="34"/>
      <c r="B14" s="31"/>
      <c r="C14" s="32"/>
      <c r="D14" s="32"/>
      <c r="E14" s="33"/>
      <c r="F14" s="33"/>
      <c r="G14" s="5" t="s">
        <v>95</v>
      </c>
      <c r="H14" s="16">
        <v>4190.49</v>
      </c>
      <c r="I14" s="17" t="str">
        <f t="shared" si="0"/>
        <v>n/a</v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560.82005029702157</v>
      </c>
      <c r="B20" s="8">
        <f>COUNT(H3:H17)</f>
        <v>12</v>
      </c>
      <c r="C20" s="9">
        <f>IF(B20&lt;2,"n/a",(A20/D20))</f>
        <v>0.18098442269615247</v>
      </c>
      <c r="D20" s="10">
        <f>IFERROR(ROUND(AVERAGE(H3:H17),2),"")</f>
        <v>3098.72</v>
      </c>
      <c r="E20" s="15" t="str">
        <f>IFERROR(ROUND(IF(B20&lt;2,"n/a",(IF(C20&lt;=25%,"n/a",AVERAGE(I3:I17)))),2),"n/a")</f>
        <v>n/a</v>
      </c>
      <c r="F20" s="10">
        <f>IFERROR(ROUND(MEDIAN(H3:H17),2),"")</f>
        <v>2931.35</v>
      </c>
      <c r="G20" s="11" t="str">
        <f>IFERROR(INDEX(G3:G17,MATCH(H20,H3:H17,0)),"")</f>
        <v>H &amp; I DISTRIBUIDORA LTDA</v>
      </c>
      <c r="H20" s="12">
        <f>F3</f>
        <v>2350</v>
      </c>
    </row>
    <row r="22" spans="1:9" x14ac:dyDescent="0.25">
      <c r="G22" s="13" t="s">
        <v>20</v>
      </c>
      <c r="H22" s="14">
        <f>IF(C20&lt;=25%,D20,MIN(E20:F20))</f>
        <v>3098.72</v>
      </c>
    </row>
    <row r="23" spans="1:9" x14ac:dyDescent="0.25">
      <c r="G23" s="13" t="s">
        <v>6</v>
      </c>
      <c r="H23" s="14">
        <f>ROUND(H22,2)*D3</f>
        <v>9296.16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2</v>
      </c>
      <c r="B3" s="30" t="s">
        <v>66</v>
      </c>
      <c r="C3" s="32" t="s">
        <v>7</v>
      </c>
      <c r="D3" s="32">
        <f>8+20</f>
        <v>28</v>
      </c>
      <c r="E3" s="33">
        <f>IF(C20&lt;=25%,D20,MIN(E20:F20))</f>
        <v>2502.37</v>
      </c>
      <c r="F3" s="33">
        <f>MIN(H3:H17)</f>
        <v>2384.1</v>
      </c>
      <c r="G3" s="5" t="s">
        <v>227</v>
      </c>
      <c r="H3" s="16">
        <v>2699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224</v>
      </c>
      <c r="H4" s="16">
        <v>2469.0500000000002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228</v>
      </c>
      <c r="H5" s="16">
        <v>2399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229</v>
      </c>
      <c r="H6" s="16">
        <v>2499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225</v>
      </c>
      <c r="H7" s="16">
        <v>2564.0500000000002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230</v>
      </c>
      <c r="H8" s="16">
        <v>2384.1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116.84392010997695</v>
      </c>
      <c r="B20" s="8">
        <f>COUNT(H3:H17)</f>
        <v>6</v>
      </c>
      <c r="C20" s="9">
        <f>IF(B20&lt;2,"n/a",(A20/D20))</f>
        <v>4.6693302792943071E-2</v>
      </c>
      <c r="D20" s="10">
        <f>IFERROR(ROUND(AVERAGE(H3:H17),2),"")</f>
        <v>2502.37</v>
      </c>
      <c r="E20" s="15" t="str">
        <f>IFERROR(ROUND(IF(B20&lt;2,"n/a",(IF(C20&lt;=25%,"n/a",AVERAGE(I3:I17)))),2),"n/a")</f>
        <v>n/a</v>
      </c>
      <c r="F20" s="10">
        <f>IFERROR(ROUND(MEDIAN(H3:H17),2),"")</f>
        <v>2484.0300000000002</v>
      </c>
      <c r="G20" s="11" t="str">
        <f>IFERROR(INDEX(G3:G17,MATCH(H20,H3:H17,0)),"")</f>
        <v>GIRAFA</v>
      </c>
      <c r="H20" s="12">
        <f>F3</f>
        <v>2384.1</v>
      </c>
    </row>
    <row r="22" spans="1:9" x14ac:dyDescent="0.25">
      <c r="G22" s="13" t="s">
        <v>20</v>
      </c>
      <c r="H22" s="14">
        <f>IF(C20&lt;=25%,D20,MIN(E20:F20))</f>
        <v>2502.37</v>
      </c>
    </row>
    <row r="23" spans="1:9" x14ac:dyDescent="0.25">
      <c r="G23" s="13" t="s">
        <v>6</v>
      </c>
      <c r="H23" s="14">
        <f>ROUND(H22,2)*D3</f>
        <v>70066.36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20</v>
      </c>
      <c r="B3" s="30" t="s">
        <v>52</v>
      </c>
      <c r="C3" s="32" t="s">
        <v>7</v>
      </c>
      <c r="D3" s="32">
        <v>40</v>
      </c>
      <c r="E3" s="33">
        <f>IF(C20&lt;=25%,D20,MIN(E20:F20))</f>
        <v>1147.1400000000001</v>
      </c>
      <c r="F3" s="33">
        <f>MIN(H3:H17)</f>
        <v>949</v>
      </c>
      <c r="G3" s="5" t="s">
        <v>254</v>
      </c>
      <c r="H3" s="16">
        <v>1004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224</v>
      </c>
      <c r="H4" s="16">
        <v>949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235</v>
      </c>
      <c r="H5" s="16">
        <v>1225.72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255</v>
      </c>
      <c r="H6" s="16">
        <v>1379.9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256</v>
      </c>
      <c r="H7" s="16">
        <v>1339.4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257</v>
      </c>
      <c r="H8" s="16">
        <v>1127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 t="s">
        <v>258</v>
      </c>
      <c r="H9" s="16">
        <v>1004.93</v>
      </c>
      <c r="I9" s="17" t="str">
        <f t="shared" si="0"/>
        <v>n/a</v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172.09191554293915</v>
      </c>
      <c r="B20" s="8">
        <f>COUNT(H3:H17)</f>
        <v>7</v>
      </c>
      <c r="C20" s="9">
        <f>IF(B20&lt;2,"n/a",(A20/D20))</f>
        <v>0.15001823277275583</v>
      </c>
      <c r="D20" s="10">
        <f>IFERROR(ROUND(AVERAGE(H3:H17),2),"")</f>
        <v>1147.1400000000001</v>
      </c>
      <c r="E20" s="15" t="str">
        <f>IFERROR(ROUND(IF(B20&lt;2,"n/a",(IF(C20&lt;=25%,"n/a",AVERAGE(I3:I17)))),2),"n/a")</f>
        <v>n/a</v>
      </c>
      <c r="F20" s="10">
        <f>IFERROR(ROUND(MEDIAN(H3:H17),2),"")</f>
        <v>1127</v>
      </c>
      <c r="G20" s="11" t="str">
        <f>IFERROR(INDEX(G3:G17,MATCH(H20,H3:H17,0)),"")</f>
        <v>CASAS BAHIA</v>
      </c>
      <c r="H20" s="12">
        <f>F3</f>
        <v>949</v>
      </c>
    </row>
    <row r="22" spans="1:9" x14ac:dyDescent="0.25">
      <c r="G22" s="13" t="s">
        <v>20</v>
      </c>
      <c r="H22" s="14">
        <f>IF(C20&lt;=25%,D20,MIN(E20:F20))</f>
        <v>1147.1400000000001</v>
      </c>
    </row>
    <row r="23" spans="1:9" x14ac:dyDescent="0.25">
      <c r="G23" s="13" t="s">
        <v>6</v>
      </c>
      <c r="H23" s="14">
        <f>ROUND(H22,2)*D3</f>
        <v>45885.600000000006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4">
        <v>21</v>
      </c>
      <c r="B3" s="30" t="s">
        <v>53</v>
      </c>
      <c r="C3" s="32" t="s">
        <v>7</v>
      </c>
      <c r="D3" s="32">
        <v>40</v>
      </c>
      <c r="E3" s="33">
        <f>IF(C20&lt;=25%,D20,MIN(E20:F20))</f>
        <v>501.04</v>
      </c>
      <c r="F3" s="33">
        <f>MIN(H3:H17)</f>
        <v>161.86000000000001</v>
      </c>
      <c r="G3" s="5" t="s">
        <v>80</v>
      </c>
      <c r="H3" s="16">
        <v>161.86000000000001</v>
      </c>
      <c r="I3" s="17">
        <f>IF(H3="","",(IF($C$20&lt;25%,"n/a",IF(H3&lt;=($D$20+$A$20),H3,"Descartado"))))</f>
        <v>161.86000000000001</v>
      </c>
    </row>
    <row r="4" spans="1:9" x14ac:dyDescent="0.25">
      <c r="A4" s="34"/>
      <c r="B4" s="31"/>
      <c r="C4" s="32"/>
      <c r="D4" s="32"/>
      <c r="E4" s="33"/>
      <c r="F4" s="33"/>
      <c r="G4" s="5" t="s">
        <v>120</v>
      </c>
      <c r="H4" s="16">
        <v>170</v>
      </c>
      <c r="I4" s="17">
        <f t="shared" ref="I4:I17" si="0">IF(H4="","",(IF($C$20&lt;25%,"n/a",IF(H4&lt;=($D$20+$A$20),H4,"Descartado"))))</f>
        <v>170</v>
      </c>
    </row>
    <row r="5" spans="1:9" x14ac:dyDescent="0.25">
      <c r="A5" s="34"/>
      <c r="B5" s="31"/>
      <c r="C5" s="32"/>
      <c r="D5" s="32"/>
      <c r="E5" s="33"/>
      <c r="F5" s="33"/>
      <c r="G5" s="5" t="s">
        <v>126</v>
      </c>
      <c r="H5" s="16">
        <v>831</v>
      </c>
      <c r="I5" s="17">
        <f t="shared" si="0"/>
        <v>831</v>
      </c>
    </row>
    <row r="6" spans="1:9" x14ac:dyDescent="0.25">
      <c r="A6" s="34"/>
      <c r="B6" s="31"/>
      <c r="C6" s="32"/>
      <c r="D6" s="32"/>
      <c r="E6" s="33"/>
      <c r="F6" s="33"/>
      <c r="G6" s="5" t="s">
        <v>144</v>
      </c>
      <c r="H6" s="16">
        <v>841.31</v>
      </c>
      <c r="I6" s="17">
        <f t="shared" si="0"/>
        <v>841.31</v>
      </c>
    </row>
    <row r="7" spans="1:9" x14ac:dyDescent="0.25">
      <c r="A7" s="34"/>
      <c r="B7" s="31"/>
      <c r="C7" s="32"/>
      <c r="D7" s="32"/>
      <c r="E7" s="33"/>
      <c r="F7" s="33"/>
      <c r="G7" s="5" t="s">
        <v>89</v>
      </c>
      <c r="H7" s="16">
        <v>1052.3699999999999</v>
      </c>
      <c r="I7" s="17" t="str">
        <f t="shared" si="0"/>
        <v>Descartado</v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416.07013780130859</v>
      </c>
      <c r="B20" s="8">
        <f>COUNT(H3:H17)</f>
        <v>5</v>
      </c>
      <c r="C20" s="9">
        <f>IF(B20&lt;2,"n/a",(A20/D20))</f>
        <v>0.68062053262879496</v>
      </c>
      <c r="D20" s="10">
        <f>IFERROR(ROUND(AVERAGE(H3:H17),2),"")</f>
        <v>611.30999999999995</v>
      </c>
      <c r="E20" s="15">
        <f>IFERROR(ROUND(IF(B20&lt;2,"n/a",(IF(C20&lt;=25%,"n/a",AVERAGE(I3:I17)))),2),"n/a")</f>
        <v>501.04</v>
      </c>
      <c r="F20" s="10">
        <f>IFERROR(ROUND(MEDIAN(H3:H17),2),"")</f>
        <v>831</v>
      </c>
      <c r="G20" s="11" t="str">
        <f>IFERROR(INDEX(G3:G17,MATCH(H20,H3:H17,0)),"")</f>
        <v>REDNOV FERRAMENTAS LTDA</v>
      </c>
      <c r="H20" s="12">
        <f>F3</f>
        <v>161.86000000000001</v>
      </c>
    </row>
    <row r="22" spans="1:9" x14ac:dyDescent="0.25">
      <c r="G22" s="13" t="s">
        <v>20</v>
      </c>
      <c r="H22" s="14">
        <f>IF(C20&lt;=25%,D20,MIN(E20:F20))</f>
        <v>501.04</v>
      </c>
    </row>
    <row r="23" spans="1:9" x14ac:dyDescent="0.25">
      <c r="G23" s="13" t="s">
        <v>6</v>
      </c>
      <c r="H23" s="14">
        <f>ROUND(H22,2)*D3</f>
        <v>20041.600000000002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0" sqref="G3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4">
        <v>22</v>
      </c>
      <c r="B3" s="30" t="s">
        <v>54</v>
      </c>
      <c r="C3" s="32" t="s">
        <v>7</v>
      </c>
      <c r="D3" s="32">
        <f>5+20</f>
        <v>25</v>
      </c>
      <c r="E3" s="33">
        <f>IF(C20&lt;=25%,D20,MIN(E20:F20))</f>
        <v>2147.77</v>
      </c>
      <c r="F3" s="33">
        <f>MIN(H3:H17)</f>
        <v>1730</v>
      </c>
      <c r="G3" s="5" t="s">
        <v>120</v>
      </c>
      <c r="H3" s="16">
        <v>1730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145</v>
      </c>
      <c r="H4" s="16">
        <v>1948.54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146</v>
      </c>
      <c r="H5" s="16">
        <v>1975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123</v>
      </c>
      <c r="H6" s="16">
        <v>1999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137</v>
      </c>
      <c r="H7" s="16">
        <v>2242.9699999999998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80</v>
      </c>
      <c r="H8" s="16">
        <v>2321.31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 t="s">
        <v>72</v>
      </c>
      <c r="H9" s="16">
        <v>2349.7600000000002</v>
      </c>
      <c r="I9" s="17" t="str">
        <f t="shared" si="0"/>
        <v>n/a</v>
      </c>
    </row>
    <row r="10" spans="1:9" x14ac:dyDescent="0.25">
      <c r="A10" s="34"/>
      <c r="B10" s="31"/>
      <c r="C10" s="32"/>
      <c r="D10" s="32"/>
      <c r="E10" s="33"/>
      <c r="F10" s="33"/>
      <c r="G10" s="5" t="s">
        <v>147</v>
      </c>
      <c r="H10" s="16">
        <v>2363</v>
      </c>
      <c r="I10" s="17" t="str">
        <f t="shared" si="0"/>
        <v>n/a</v>
      </c>
    </row>
    <row r="11" spans="1:9" x14ac:dyDescent="0.25">
      <c r="A11" s="34"/>
      <c r="B11" s="31"/>
      <c r="C11" s="32"/>
      <c r="D11" s="32"/>
      <c r="E11" s="33"/>
      <c r="F11" s="33"/>
      <c r="G11" s="5" t="s">
        <v>148</v>
      </c>
      <c r="H11" s="16">
        <v>2400.37</v>
      </c>
      <c r="I11" s="17" t="str">
        <f t="shared" si="0"/>
        <v>n/a</v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238.82948837914364</v>
      </c>
      <c r="B20" s="8">
        <f>COUNT(H3:H17)</f>
        <v>9</v>
      </c>
      <c r="C20" s="9">
        <f>IF(B20&lt;2,"n/a",(A20/D20))</f>
        <v>0.11119881941695044</v>
      </c>
      <c r="D20" s="10">
        <f>IFERROR(ROUND(AVERAGE(H3:H17),2),"")</f>
        <v>2147.77</v>
      </c>
      <c r="E20" s="15" t="str">
        <f>IFERROR(ROUND(IF(B20&lt;2,"n/a",(IF(C20&lt;=25%,"n/a",AVERAGE(I3:I17)))),2),"n/a")</f>
        <v>n/a</v>
      </c>
      <c r="F20" s="10">
        <f>IFERROR(ROUND(MEDIAN(H3:H17),2),"")</f>
        <v>2242.9699999999998</v>
      </c>
      <c r="G20" s="11" t="str">
        <f>IFERROR(INDEX(G3:G17,MATCH(H20,H3:H17,0)),"")</f>
        <v>LICITASP DISTRIBUIDOR DE EQUIPAMENTOS SOCIEDADE UNIPESSOAL LTDA</v>
      </c>
      <c r="H20" s="12">
        <f>F3</f>
        <v>1730</v>
      </c>
    </row>
    <row r="22" spans="1:9" x14ac:dyDescent="0.25">
      <c r="G22" s="13" t="s">
        <v>20</v>
      </c>
      <c r="H22" s="14">
        <f>IF(C20&lt;=25%,D20,MIN(E20:F20))</f>
        <v>2147.77</v>
      </c>
    </row>
    <row r="23" spans="1:9" x14ac:dyDescent="0.25">
      <c r="G23" s="13" t="s">
        <v>6</v>
      </c>
      <c r="H23" s="14">
        <f>ROUND(H22,2)*D3</f>
        <v>53694.25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8" sqref="H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4">
        <v>23</v>
      </c>
      <c r="B3" s="30" t="s">
        <v>55</v>
      </c>
      <c r="C3" s="32" t="s">
        <v>7</v>
      </c>
      <c r="D3" s="32">
        <v>4</v>
      </c>
      <c r="E3" s="33">
        <f>IF(C20&lt;=25%,D20,MIN(E20:F20))</f>
        <v>340.43</v>
      </c>
      <c r="F3" s="33">
        <f>MIN(H3:H17)</f>
        <v>120</v>
      </c>
      <c r="G3" s="5" t="s">
        <v>149</v>
      </c>
      <c r="H3" s="16">
        <v>120</v>
      </c>
      <c r="I3" s="17">
        <f>IF(H3="","",(IF($C$20&lt;25%,"n/a",IF(H3&lt;=($D$20+$A$20),H3,"Descartado"))))</f>
        <v>120</v>
      </c>
    </row>
    <row r="4" spans="1:9" x14ac:dyDescent="0.25">
      <c r="A4" s="34"/>
      <c r="B4" s="31"/>
      <c r="C4" s="32"/>
      <c r="D4" s="32"/>
      <c r="E4" s="33"/>
      <c r="F4" s="33"/>
      <c r="G4" s="5" t="s">
        <v>80</v>
      </c>
      <c r="H4" s="16">
        <v>149.22999999999999</v>
      </c>
      <c r="I4" s="17">
        <f t="shared" ref="I4:I17" si="0">IF(H4="","",(IF($C$20&lt;25%,"n/a",IF(H4&lt;=($D$20+$A$20),H4,"Descartado"))))</f>
        <v>149.22999999999999</v>
      </c>
    </row>
    <row r="5" spans="1:9" x14ac:dyDescent="0.25">
      <c r="A5" s="34"/>
      <c r="B5" s="31"/>
      <c r="C5" s="32"/>
      <c r="D5" s="32"/>
      <c r="E5" s="33"/>
      <c r="F5" s="33"/>
      <c r="G5" s="5" t="s">
        <v>142</v>
      </c>
      <c r="H5" s="16">
        <v>151</v>
      </c>
      <c r="I5" s="17">
        <f t="shared" si="0"/>
        <v>151</v>
      </c>
    </row>
    <row r="6" spans="1:9" x14ac:dyDescent="0.25">
      <c r="A6" s="34"/>
      <c r="B6" s="31"/>
      <c r="C6" s="32"/>
      <c r="D6" s="32"/>
      <c r="E6" s="33"/>
      <c r="F6" s="33"/>
      <c r="G6" s="5" t="s">
        <v>150</v>
      </c>
      <c r="H6" s="16">
        <v>303</v>
      </c>
      <c r="I6" s="17">
        <f t="shared" si="0"/>
        <v>303</v>
      </c>
    </row>
    <row r="7" spans="1:9" x14ac:dyDescent="0.25">
      <c r="A7" s="34"/>
      <c r="B7" s="31"/>
      <c r="C7" s="32"/>
      <c r="D7" s="32"/>
      <c r="E7" s="33"/>
      <c r="F7" s="33"/>
      <c r="G7" s="5" t="s">
        <v>151</v>
      </c>
      <c r="H7" s="16">
        <v>344</v>
      </c>
      <c r="I7" s="17">
        <f t="shared" si="0"/>
        <v>344</v>
      </c>
    </row>
    <row r="8" spans="1:9" x14ac:dyDescent="0.25">
      <c r="A8" s="34"/>
      <c r="B8" s="31"/>
      <c r="C8" s="32"/>
      <c r="D8" s="32"/>
      <c r="E8" s="33"/>
      <c r="F8" s="33"/>
      <c r="G8" s="5" t="s">
        <v>152</v>
      </c>
      <c r="H8" s="16">
        <v>350.07</v>
      </c>
      <c r="I8" s="17">
        <f t="shared" si="0"/>
        <v>350.07</v>
      </c>
    </row>
    <row r="9" spans="1:9" x14ac:dyDescent="0.25">
      <c r="A9" s="34"/>
      <c r="B9" s="31"/>
      <c r="C9" s="32"/>
      <c r="D9" s="32"/>
      <c r="E9" s="33"/>
      <c r="F9" s="33"/>
      <c r="G9" s="5" t="s">
        <v>153</v>
      </c>
      <c r="H9" s="16">
        <v>396.6</v>
      </c>
      <c r="I9" s="17">
        <f t="shared" si="0"/>
        <v>396.6</v>
      </c>
    </row>
    <row r="10" spans="1:9" x14ac:dyDescent="0.25">
      <c r="A10" s="34"/>
      <c r="B10" s="31"/>
      <c r="C10" s="32"/>
      <c r="D10" s="32"/>
      <c r="E10" s="33"/>
      <c r="F10" s="33"/>
      <c r="G10" s="5" t="s">
        <v>92</v>
      </c>
      <c r="H10" s="16">
        <v>401.74</v>
      </c>
      <c r="I10" s="17">
        <f t="shared" si="0"/>
        <v>401.74</v>
      </c>
    </row>
    <row r="11" spans="1:9" x14ac:dyDescent="0.25">
      <c r="A11" s="34"/>
      <c r="B11" s="31"/>
      <c r="C11" s="32"/>
      <c r="D11" s="32"/>
      <c r="E11" s="33"/>
      <c r="F11" s="33"/>
      <c r="G11" s="5" t="s">
        <v>154</v>
      </c>
      <c r="H11" s="16">
        <v>405.66</v>
      </c>
      <c r="I11" s="17">
        <f t="shared" si="0"/>
        <v>405.66</v>
      </c>
    </row>
    <row r="12" spans="1:9" x14ac:dyDescent="0.25">
      <c r="A12" s="34"/>
      <c r="B12" s="31"/>
      <c r="C12" s="32"/>
      <c r="D12" s="32"/>
      <c r="E12" s="33"/>
      <c r="F12" s="33"/>
      <c r="G12" s="5" t="s">
        <v>155</v>
      </c>
      <c r="H12" s="16">
        <v>405.7</v>
      </c>
      <c r="I12" s="17">
        <f t="shared" si="0"/>
        <v>405.7</v>
      </c>
    </row>
    <row r="13" spans="1:9" x14ac:dyDescent="0.25">
      <c r="A13" s="34"/>
      <c r="B13" s="31"/>
      <c r="C13" s="32"/>
      <c r="D13" s="32"/>
      <c r="E13" s="33"/>
      <c r="F13" s="33"/>
      <c r="G13" s="5" t="s">
        <v>123</v>
      </c>
      <c r="H13" s="16">
        <v>410</v>
      </c>
      <c r="I13" s="17">
        <f t="shared" si="0"/>
        <v>410</v>
      </c>
    </row>
    <row r="14" spans="1:9" x14ac:dyDescent="0.25">
      <c r="A14" s="34"/>
      <c r="B14" s="31"/>
      <c r="C14" s="32"/>
      <c r="D14" s="32"/>
      <c r="E14" s="33"/>
      <c r="F14" s="33"/>
      <c r="G14" s="5" t="s">
        <v>156</v>
      </c>
      <c r="H14" s="16">
        <v>412</v>
      </c>
      <c r="I14" s="17">
        <f t="shared" si="0"/>
        <v>412</v>
      </c>
    </row>
    <row r="15" spans="1:9" x14ac:dyDescent="0.25">
      <c r="A15" s="34"/>
      <c r="B15" s="31"/>
      <c r="C15" s="32"/>
      <c r="D15" s="32"/>
      <c r="E15" s="33"/>
      <c r="F15" s="33"/>
      <c r="G15" s="5" t="s">
        <v>157</v>
      </c>
      <c r="H15" s="16">
        <v>414.5</v>
      </c>
      <c r="I15" s="17">
        <f t="shared" si="0"/>
        <v>414.5</v>
      </c>
    </row>
    <row r="16" spans="1:9" x14ac:dyDescent="0.25">
      <c r="A16" s="34"/>
      <c r="B16" s="31"/>
      <c r="C16" s="32"/>
      <c r="D16" s="32"/>
      <c r="E16" s="33"/>
      <c r="F16" s="33"/>
      <c r="G16" s="5" t="s">
        <v>147</v>
      </c>
      <c r="H16" s="16">
        <v>417.99</v>
      </c>
      <c r="I16" s="17">
        <f t="shared" si="0"/>
        <v>417.99</v>
      </c>
    </row>
    <row r="17" spans="1:9" x14ac:dyDescent="0.25">
      <c r="A17" s="34"/>
      <c r="B17" s="31"/>
      <c r="C17" s="32"/>
      <c r="D17" s="32"/>
      <c r="E17" s="33"/>
      <c r="F17" s="33"/>
      <c r="G17" s="5" t="s">
        <v>158</v>
      </c>
      <c r="H17" s="16">
        <v>425</v>
      </c>
      <c r="I17" s="17">
        <f t="shared" si="0"/>
        <v>425</v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109.08142210992587</v>
      </c>
      <c r="B20" s="8">
        <f>COUNT(H3:H17)</f>
        <v>15</v>
      </c>
      <c r="C20" s="9">
        <f>IF(B20&lt;2,"n/a",(A20/D20))</f>
        <v>0.32042247190296352</v>
      </c>
      <c r="D20" s="10">
        <f>IFERROR(ROUND(AVERAGE(H3:H17),2),"")</f>
        <v>340.43</v>
      </c>
      <c r="E20" s="15">
        <f>IFERROR(ROUND(IF(B20&lt;2,"n/a",(IF(C20&lt;=25%,"n/a",AVERAGE(I3:I17)))),2),"n/a")</f>
        <v>340.43</v>
      </c>
      <c r="F20" s="10">
        <f>IFERROR(ROUND(MEDIAN(H3:H17),2),"")</f>
        <v>401.74</v>
      </c>
      <c r="G20" s="11" t="str">
        <f>IFERROR(INDEX(G3:G17,MATCH(H20,H3:H17,0)),"")</f>
        <v>PEPALU COMERCIAL - ARTIGOS DE PAPELARIA E EQUIPAMENTOS LTDA</v>
      </c>
      <c r="H20" s="12">
        <f>F3</f>
        <v>120</v>
      </c>
    </row>
    <row r="22" spans="1:9" x14ac:dyDescent="0.25">
      <c r="G22" s="13" t="s">
        <v>20</v>
      </c>
      <c r="H22" s="14">
        <f>IF(C20&lt;=25%,D20,MIN(E20:F20))</f>
        <v>340.43</v>
      </c>
    </row>
    <row r="23" spans="1:9" x14ac:dyDescent="0.25">
      <c r="G23" s="13" t="s">
        <v>6</v>
      </c>
      <c r="H23" s="14">
        <f>ROUND(H22,2)*D3</f>
        <v>1361.72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7" sqref="H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4">
        <v>24</v>
      </c>
      <c r="B3" s="30" t="s">
        <v>56</v>
      </c>
      <c r="C3" s="32" t="s">
        <v>7</v>
      </c>
      <c r="D3" s="32">
        <v>4</v>
      </c>
      <c r="E3" s="33">
        <f>IF(C20&lt;=25%,D20,MIN(E20:F20))</f>
        <v>354.99</v>
      </c>
      <c r="F3" s="33">
        <f>MIN(H3:H17)</f>
        <v>169.9</v>
      </c>
      <c r="G3" s="5" t="s">
        <v>80</v>
      </c>
      <c r="H3" s="16">
        <v>169.9</v>
      </c>
      <c r="I3" s="17">
        <f>IF(H3="","",(IF($C$20&lt;25%,"n/a",IF(H3&lt;=($D$20+$A$20),H3,"Descartado"))))</f>
        <v>169.9</v>
      </c>
    </row>
    <row r="4" spans="1:9" x14ac:dyDescent="0.25">
      <c r="A4" s="34"/>
      <c r="B4" s="31"/>
      <c r="C4" s="32"/>
      <c r="D4" s="32"/>
      <c r="E4" s="33"/>
      <c r="F4" s="33"/>
      <c r="G4" s="5" t="s">
        <v>154</v>
      </c>
      <c r="H4" s="16">
        <v>393.87</v>
      </c>
      <c r="I4" s="17">
        <f t="shared" ref="I4:I17" si="0">IF(H4="","",(IF($C$20&lt;25%,"n/a",IF(H4&lt;=($D$20+$A$20),H4,"Descartado"))))</f>
        <v>393.87</v>
      </c>
    </row>
    <row r="5" spans="1:9" x14ac:dyDescent="0.25">
      <c r="A5" s="34"/>
      <c r="B5" s="31"/>
      <c r="C5" s="32"/>
      <c r="D5" s="32"/>
      <c r="E5" s="33"/>
      <c r="F5" s="33"/>
      <c r="G5" s="5" t="s">
        <v>159</v>
      </c>
      <c r="H5" s="16">
        <v>501.2</v>
      </c>
      <c r="I5" s="17">
        <f t="shared" si="0"/>
        <v>501.2</v>
      </c>
    </row>
    <row r="6" spans="1:9" x14ac:dyDescent="0.25">
      <c r="A6" s="34"/>
      <c r="B6" s="31"/>
      <c r="C6" s="32"/>
      <c r="D6" s="32"/>
      <c r="E6" s="33"/>
      <c r="F6" s="33"/>
      <c r="G6" s="5" t="s">
        <v>138</v>
      </c>
      <c r="H6" s="16">
        <v>759</v>
      </c>
      <c r="I6" s="17" t="str">
        <f t="shared" si="0"/>
        <v>Descartado</v>
      </c>
    </row>
    <row r="7" spans="1:9" x14ac:dyDescent="0.25">
      <c r="A7" s="34"/>
      <c r="B7" s="31"/>
      <c r="C7" s="32"/>
      <c r="D7" s="32"/>
      <c r="E7" s="33"/>
      <c r="F7" s="33"/>
      <c r="G7" s="5"/>
      <c r="H7" s="16"/>
      <c r="I7" s="17" t="str">
        <f t="shared" si="0"/>
        <v/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244.6530786474323</v>
      </c>
      <c r="B20" s="8">
        <f>COUNT(H3:H17)</f>
        <v>4</v>
      </c>
      <c r="C20" s="9">
        <f>IF(B20&lt;2,"n/a",(A20/D20))</f>
        <v>0.53653167536005675</v>
      </c>
      <c r="D20" s="10">
        <f>IFERROR(ROUND(AVERAGE(H3:H17),2),"")</f>
        <v>455.99</v>
      </c>
      <c r="E20" s="15">
        <f>IFERROR(ROUND(IF(B20&lt;2,"n/a",(IF(C20&lt;=25%,"n/a",AVERAGE(I3:I17)))),2),"n/a")</f>
        <v>354.99</v>
      </c>
      <c r="F20" s="10">
        <f>IFERROR(ROUND(MEDIAN(H3:H17),2),"")</f>
        <v>447.54</v>
      </c>
      <c r="G20" s="11" t="str">
        <f>IFERROR(INDEX(G3:G17,MATCH(H20,H3:H17,0)),"")</f>
        <v>REDNOV FERRAMENTAS LTDA</v>
      </c>
      <c r="H20" s="12">
        <f>F3</f>
        <v>169.9</v>
      </c>
    </row>
    <row r="22" spans="1:9" x14ac:dyDescent="0.25">
      <c r="G22" s="13" t="s">
        <v>20</v>
      </c>
      <c r="H22" s="14">
        <f>IF(C20&lt;=25%,D20,MIN(E20:F20))</f>
        <v>354.99</v>
      </c>
    </row>
    <row r="23" spans="1:9" x14ac:dyDescent="0.25">
      <c r="G23" s="13" t="s">
        <v>6</v>
      </c>
      <c r="H23" s="14">
        <f>ROUND(H22,2)*D3</f>
        <v>1419.96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8" sqref="H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4">
        <v>25</v>
      </c>
      <c r="B3" s="30" t="s">
        <v>57</v>
      </c>
      <c r="C3" s="32" t="s">
        <v>7</v>
      </c>
      <c r="D3" s="32">
        <v>3</v>
      </c>
      <c r="E3" s="33">
        <f>IF(C20&lt;=25%,D20,MIN(E20:F20))</f>
        <v>582.94000000000005</v>
      </c>
      <c r="F3" s="33">
        <f>MIN(H3:H17)</f>
        <v>250</v>
      </c>
      <c r="G3" s="5" t="s">
        <v>160</v>
      </c>
      <c r="H3" s="16">
        <v>250</v>
      </c>
      <c r="I3" s="17">
        <f>IF(H3="","",(IF($C$20&lt;25%,"n/a",IF(H3&lt;=($D$20+$A$20),H3,"Descartado"))))</f>
        <v>250</v>
      </c>
    </row>
    <row r="4" spans="1:9" x14ac:dyDescent="0.25">
      <c r="A4" s="34"/>
      <c r="B4" s="31"/>
      <c r="C4" s="32"/>
      <c r="D4" s="32"/>
      <c r="E4" s="33"/>
      <c r="F4" s="33"/>
      <c r="G4" s="5" t="s">
        <v>161</v>
      </c>
      <c r="H4" s="16">
        <v>426</v>
      </c>
      <c r="I4" s="17">
        <f t="shared" ref="I4:I17" si="0">IF(H4="","",(IF($C$20&lt;25%,"n/a",IF(H4&lt;=($D$20+$A$20),H4,"Descartado"))))</f>
        <v>426</v>
      </c>
    </row>
    <row r="5" spans="1:9" x14ac:dyDescent="0.25">
      <c r="A5" s="34"/>
      <c r="B5" s="31"/>
      <c r="C5" s="32"/>
      <c r="D5" s="32"/>
      <c r="E5" s="33"/>
      <c r="F5" s="33"/>
      <c r="G5" s="5" t="s">
        <v>162</v>
      </c>
      <c r="H5" s="16">
        <v>442</v>
      </c>
      <c r="I5" s="17">
        <f t="shared" si="0"/>
        <v>442</v>
      </c>
    </row>
    <row r="6" spans="1:9" x14ac:dyDescent="0.25">
      <c r="A6" s="34"/>
      <c r="B6" s="31"/>
      <c r="C6" s="32"/>
      <c r="D6" s="32"/>
      <c r="E6" s="33"/>
      <c r="F6" s="33"/>
      <c r="G6" s="5" t="s">
        <v>163</v>
      </c>
      <c r="H6" s="16">
        <v>483.36</v>
      </c>
      <c r="I6" s="17">
        <f t="shared" si="0"/>
        <v>483.36</v>
      </c>
    </row>
    <row r="7" spans="1:9" x14ac:dyDescent="0.25">
      <c r="A7" s="34"/>
      <c r="B7" s="31"/>
      <c r="C7" s="32"/>
      <c r="D7" s="32"/>
      <c r="E7" s="33"/>
      <c r="F7" s="33"/>
      <c r="G7" s="5" t="s">
        <v>164</v>
      </c>
      <c r="H7" s="16">
        <v>488.98</v>
      </c>
      <c r="I7" s="17">
        <f t="shared" si="0"/>
        <v>488.98</v>
      </c>
    </row>
    <row r="8" spans="1:9" x14ac:dyDescent="0.25">
      <c r="A8" s="34"/>
      <c r="B8" s="31"/>
      <c r="C8" s="32"/>
      <c r="D8" s="32"/>
      <c r="E8" s="33"/>
      <c r="F8" s="33"/>
      <c r="G8" s="5" t="s">
        <v>165</v>
      </c>
      <c r="H8" s="16">
        <v>587.95000000000005</v>
      </c>
      <c r="I8" s="17">
        <f t="shared" si="0"/>
        <v>587.95000000000005</v>
      </c>
    </row>
    <row r="9" spans="1:9" x14ac:dyDescent="0.25">
      <c r="A9" s="34"/>
      <c r="B9" s="31"/>
      <c r="C9" s="32"/>
      <c r="D9" s="32"/>
      <c r="E9" s="33"/>
      <c r="F9" s="33"/>
      <c r="G9" s="5" t="s">
        <v>166</v>
      </c>
      <c r="H9" s="16">
        <v>590</v>
      </c>
      <c r="I9" s="17">
        <f t="shared" si="0"/>
        <v>590</v>
      </c>
    </row>
    <row r="10" spans="1:9" x14ac:dyDescent="0.25">
      <c r="A10" s="34"/>
      <c r="B10" s="31"/>
      <c r="C10" s="32"/>
      <c r="D10" s="32"/>
      <c r="E10" s="33"/>
      <c r="F10" s="33"/>
      <c r="G10" s="5" t="s">
        <v>167</v>
      </c>
      <c r="H10" s="16">
        <v>649</v>
      </c>
      <c r="I10" s="17">
        <f t="shared" si="0"/>
        <v>649</v>
      </c>
    </row>
    <row r="11" spans="1:9" x14ac:dyDescent="0.25">
      <c r="A11" s="34"/>
      <c r="B11" s="31"/>
      <c r="C11" s="32"/>
      <c r="D11" s="32"/>
      <c r="E11" s="33"/>
      <c r="F11" s="33"/>
      <c r="G11" s="5" t="s">
        <v>168</v>
      </c>
      <c r="H11" s="16">
        <v>700</v>
      </c>
      <c r="I11" s="17">
        <f t="shared" si="0"/>
        <v>700</v>
      </c>
    </row>
    <row r="12" spans="1:9" x14ac:dyDescent="0.25">
      <c r="A12" s="34"/>
      <c r="B12" s="31"/>
      <c r="C12" s="32"/>
      <c r="D12" s="32"/>
      <c r="E12" s="33"/>
      <c r="F12" s="33"/>
      <c r="G12" s="5" t="s">
        <v>169</v>
      </c>
      <c r="H12" s="16">
        <v>875</v>
      </c>
      <c r="I12" s="17">
        <f t="shared" si="0"/>
        <v>875</v>
      </c>
    </row>
    <row r="13" spans="1:9" x14ac:dyDescent="0.25">
      <c r="A13" s="34"/>
      <c r="B13" s="31"/>
      <c r="C13" s="32"/>
      <c r="D13" s="32"/>
      <c r="E13" s="33"/>
      <c r="F13" s="33"/>
      <c r="G13" s="5" t="s">
        <v>170</v>
      </c>
      <c r="H13" s="16">
        <v>920</v>
      </c>
      <c r="I13" s="17">
        <f t="shared" si="0"/>
        <v>920</v>
      </c>
    </row>
    <row r="14" spans="1:9" x14ac:dyDescent="0.25">
      <c r="A14" s="34"/>
      <c r="B14" s="31"/>
      <c r="C14" s="32"/>
      <c r="D14" s="32"/>
      <c r="E14" s="33"/>
      <c r="F14" s="33"/>
      <c r="G14" s="5" t="s">
        <v>171</v>
      </c>
      <c r="H14" s="16">
        <v>980.84</v>
      </c>
      <c r="I14" s="17" t="str">
        <f t="shared" si="0"/>
        <v>Descartado</v>
      </c>
    </row>
    <row r="15" spans="1:9" x14ac:dyDescent="0.25">
      <c r="A15" s="34"/>
      <c r="B15" s="31"/>
      <c r="C15" s="32"/>
      <c r="D15" s="32"/>
      <c r="E15" s="33"/>
      <c r="F15" s="33"/>
      <c r="G15" s="5" t="s">
        <v>172</v>
      </c>
      <c r="H15" s="16">
        <v>999</v>
      </c>
      <c r="I15" s="17" t="str">
        <f t="shared" si="0"/>
        <v>Descartado</v>
      </c>
    </row>
    <row r="16" spans="1:9" x14ac:dyDescent="0.25">
      <c r="A16" s="34"/>
      <c r="B16" s="31"/>
      <c r="C16" s="32"/>
      <c r="D16" s="32"/>
      <c r="E16" s="33"/>
      <c r="F16" s="33"/>
      <c r="G16" s="5" t="s">
        <v>173</v>
      </c>
      <c r="H16" s="16">
        <v>1020</v>
      </c>
      <c r="I16" s="17" t="str">
        <f t="shared" si="0"/>
        <v>Descartado</v>
      </c>
    </row>
    <row r="17" spans="1:9" x14ac:dyDescent="0.25">
      <c r="A17" s="34"/>
      <c r="B17" s="31"/>
      <c r="C17" s="32"/>
      <c r="D17" s="32"/>
      <c r="E17" s="33"/>
      <c r="F17" s="33"/>
      <c r="G17" s="5" t="s">
        <v>174</v>
      </c>
      <c r="H17" s="16">
        <v>1150</v>
      </c>
      <c r="I17" s="17" t="str">
        <f t="shared" si="0"/>
        <v>Descartado</v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269.23148505647356</v>
      </c>
      <c r="B20" s="8">
        <f>COUNT(H3:H17)</f>
        <v>15</v>
      </c>
      <c r="C20" s="9">
        <f>IF(B20&lt;2,"n/a",(A20/D20))</f>
        <v>0.38235505021227817</v>
      </c>
      <c r="D20" s="10">
        <f>IFERROR(ROUND(AVERAGE(H3:H17),2),"")</f>
        <v>704.14</v>
      </c>
      <c r="E20" s="15">
        <f>IFERROR(ROUND(IF(B20&lt;2,"n/a",(IF(C20&lt;=25%,"n/a",AVERAGE(I3:I17)))),2),"n/a")</f>
        <v>582.94000000000005</v>
      </c>
      <c r="F20" s="10">
        <f>IFERROR(ROUND(MEDIAN(H3:H17),2),"")</f>
        <v>649</v>
      </c>
      <c r="G20" s="11" t="str">
        <f>IFERROR(INDEX(G3:G17,MATCH(H20,H3:H17,0)),"")</f>
        <v>MOVIE TECNOLOGIC BRASIL LTDA.</v>
      </c>
      <c r="H20" s="12">
        <f>F3</f>
        <v>250</v>
      </c>
    </row>
    <row r="22" spans="1:9" x14ac:dyDescent="0.25">
      <c r="G22" s="13" t="s">
        <v>20</v>
      </c>
      <c r="H22" s="14">
        <f>IF(C20&lt;=25%,D20,MIN(E20:F20))</f>
        <v>582.94000000000005</v>
      </c>
    </row>
    <row r="23" spans="1:9" x14ac:dyDescent="0.25">
      <c r="G23" s="13" t="s">
        <v>6</v>
      </c>
      <c r="H23" s="14">
        <f>ROUND(H22,2)*D3</f>
        <v>1748.8200000000002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8" sqref="H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4">
        <v>26</v>
      </c>
      <c r="B3" s="30" t="s">
        <v>58</v>
      </c>
      <c r="C3" s="32" t="s">
        <v>7</v>
      </c>
      <c r="D3" s="32">
        <v>70</v>
      </c>
      <c r="E3" s="33">
        <f>IF(C20&lt;=25%,D20,MIN(E20:F20))</f>
        <v>494.47</v>
      </c>
      <c r="F3" s="33">
        <f>MIN(H3:H17)</f>
        <v>120</v>
      </c>
      <c r="G3" s="5" t="s">
        <v>110</v>
      </c>
      <c r="H3" s="16">
        <v>120</v>
      </c>
      <c r="I3" s="17">
        <f>IF(H3="","",(IF($C$20&lt;25%,"n/a",IF(H3&lt;=($D$20+$A$20),H3,"Descartado"))))</f>
        <v>120</v>
      </c>
    </row>
    <row r="4" spans="1:9" x14ac:dyDescent="0.25">
      <c r="A4" s="34"/>
      <c r="B4" s="31"/>
      <c r="C4" s="32"/>
      <c r="D4" s="32"/>
      <c r="E4" s="33"/>
      <c r="F4" s="33"/>
      <c r="G4" s="5" t="s">
        <v>175</v>
      </c>
      <c r="H4" s="16">
        <v>165</v>
      </c>
      <c r="I4" s="17">
        <f t="shared" ref="I4:I17" si="0">IF(H4="","",(IF($C$20&lt;25%,"n/a",IF(H4&lt;=($D$20+$A$20),H4,"Descartado"))))</f>
        <v>165</v>
      </c>
    </row>
    <row r="5" spans="1:9" x14ac:dyDescent="0.25">
      <c r="A5" s="34"/>
      <c r="B5" s="31"/>
      <c r="C5" s="32"/>
      <c r="D5" s="32"/>
      <c r="E5" s="33"/>
      <c r="F5" s="33"/>
      <c r="G5" s="5" t="s">
        <v>176</v>
      </c>
      <c r="H5" s="16">
        <v>274</v>
      </c>
      <c r="I5" s="17">
        <f t="shared" si="0"/>
        <v>274</v>
      </c>
    </row>
    <row r="6" spans="1:9" x14ac:dyDescent="0.25">
      <c r="A6" s="34"/>
      <c r="B6" s="31"/>
      <c r="C6" s="32"/>
      <c r="D6" s="32"/>
      <c r="E6" s="33"/>
      <c r="F6" s="33"/>
      <c r="G6" s="5" t="s">
        <v>107</v>
      </c>
      <c r="H6" s="16">
        <v>369.51</v>
      </c>
      <c r="I6" s="17">
        <f t="shared" si="0"/>
        <v>369.51</v>
      </c>
    </row>
    <row r="7" spans="1:9" x14ac:dyDescent="0.25">
      <c r="A7" s="34"/>
      <c r="B7" s="31"/>
      <c r="C7" s="32"/>
      <c r="D7" s="32"/>
      <c r="E7" s="33"/>
      <c r="F7" s="33"/>
      <c r="G7" s="5" t="s">
        <v>177</v>
      </c>
      <c r="H7" s="16">
        <v>495</v>
      </c>
      <c r="I7" s="17">
        <f t="shared" si="0"/>
        <v>495</v>
      </c>
    </row>
    <row r="8" spans="1:9" x14ac:dyDescent="0.25">
      <c r="A8" s="34"/>
      <c r="B8" s="31"/>
      <c r="C8" s="32"/>
      <c r="D8" s="32"/>
      <c r="E8" s="33"/>
      <c r="F8" s="33"/>
      <c r="G8" s="5" t="s">
        <v>137</v>
      </c>
      <c r="H8" s="16">
        <v>507.74</v>
      </c>
      <c r="I8" s="17">
        <f t="shared" si="0"/>
        <v>507.74</v>
      </c>
    </row>
    <row r="9" spans="1:9" x14ac:dyDescent="0.25">
      <c r="A9" s="34"/>
      <c r="B9" s="31"/>
      <c r="C9" s="32"/>
      <c r="D9" s="32"/>
      <c r="E9" s="33"/>
      <c r="F9" s="33"/>
      <c r="G9" s="5" t="s">
        <v>178</v>
      </c>
      <c r="H9" s="16">
        <v>533.20000000000005</v>
      </c>
      <c r="I9" s="17">
        <f t="shared" si="0"/>
        <v>533.20000000000005</v>
      </c>
    </row>
    <row r="10" spans="1:9" x14ac:dyDescent="0.25">
      <c r="A10" s="34"/>
      <c r="B10" s="31"/>
      <c r="C10" s="32"/>
      <c r="D10" s="32"/>
      <c r="E10" s="33"/>
      <c r="F10" s="33"/>
      <c r="G10" s="5" t="s">
        <v>92</v>
      </c>
      <c r="H10" s="16">
        <v>578</v>
      </c>
      <c r="I10" s="17">
        <f t="shared" si="0"/>
        <v>578</v>
      </c>
    </row>
    <row r="11" spans="1:9" x14ac:dyDescent="0.25">
      <c r="A11" s="34"/>
      <c r="B11" s="31"/>
      <c r="C11" s="32"/>
      <c r="D11" s="32"/>
      <c r="E11" s="33"/>
      <c r="F11" s="33"/>
      <c r="G11" s="5" t="s">
        <v>89</v>
      </c>
      <c r="H11" s="16">
        <v>587.28</v>
      </c>
      <c r="I11" s="17">
        <f t="shared" si="0"/>
        <v>587.28</v>
      </c>
    </row>
    <row r="12" spans="1:9" x14ac:dyDescent="0.25">
      <c r="A12" s="34"/>
      <c r="B12" s="31"/>
      <c r="C12" s="32"/>
      <c r="D12" s="32"/>
      <c r="E12" s="33"/>
      <c r="F12" s="33"/>
      <c r="G12" s="5" t="s">
        <v>179</v>
      </c>
      <c r="H12" s="16">
        <v>617.4</v>
      </c>
      <c r="I12" s="17">
        <f t="shared" si="0"/>
        <v>617.4</v>
      </c>
    </row>
    <row r="13" spans="1:9" x14ac:dyDescent="0.25">
      <c r="A13" s="34"/>
      <c r="B13" s="31"/>
      <c r="C13" s="32"/>
      <c r="D13" s="32"/>
      <c r="E13" s="33"/>
      <c r="F13" s="33"/>
      <c r="G13" s="5" t="s">
        <v>180</v>
      </c>
      <c r="H13" s="16">
        <v>620</v>
      </c>
      <c r="I13" s="17">
        <f t="shared" si="0"/>
        <v>620</v>
      </c>
    </row>
    <row r="14" spans="1:9" x14ac:dyDescent="0.25">
      <c r="A14" s="34"/>
      <c r="B14" s="31"/>
      <c r="C14" s="32"/>
      <c r="D14" s="32"/>
      <c r="E14" s="33"/>
      <c r="F14" s="33"/>
      <c r="G14" s="5" t="s">
        <v>181</v>
      </c>
      <c r="H14" s="16">
        <v>625.95000000000005</v>
      </c>
      <c r="I14" s="17">
        <f t="shared" si="0"/>
        <v>625.95000000000005</v>
      </c>
    </row>
    <row r="15" spans="1:9" x14ac:dyDescent="0.25">
      <c r="A15" s="34"/>
      <c r="B15" s="31"/>
      <c r="C15" s="32"/>
      <c r="D15" s="32"/>
      <c r="E15" s="33"/>
      <c r="F15" s="33"/>
      <c r="G15" s="5" t="s">
        <v>182</v>
      </c>
      <c r="H15" s="16">
        <v>630</v>
      </c>
      <c r="I15" s="17">
        <f t="shared" si="0"/>
        <v>630</v>
      </c>
    </row>
    <row r="16" spans="1:9" x14ac:dyDescent="0.25">
      <c r="A16" s="34"/>
      <c r="B16" s="31"/>
      <c r="C16" s="32"/>
      <c r="D16" s="32"/>
      <c r="E16" s="33"/>
      <c r="F16" s="33"/>
      <c r="G16" s="5" t="s">
        <v>183</v>
      </c>
      <c r="H16" s="16">
        <v>645</v>
      </c>
      <c r="I16" s="17">
        <f t="shared" si="0"/>
        <v>645</v>
      </c>
    </row>
    <row r="17" spans="1:9" x14ac:dyDescent="0.25">
      <c r="A17" s="34"/>
      <c r="B17" s="31"/>
      <c r="C17" s="32"/>
      <c r="D17" s="32"/>
      <c r="E17" s="33"/>
      <c r="F17" s="33"/>
      <c r="G17" s="5" t="s">
        <v>80</v>
      </c>
      <c r="H17" s="16">
        <v>648.99</v>
      </c>
      <c r="I17" s="17">
        <f t="shared" si="0"/>
        <v>648.99</v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177.95028928113086</v>
      </c>
      <c r="B20" s="8">
        <f>COUNT(H3:H17)</f>
        <v>15</v>
      </c>
      <c r="C20" s="9">
        <f>IF(B20&lt;2,"n/a",(A20/D20))</f>
        <v>0.35988086088363469</v>
      </c>
      <c r="D20" s="10">
        <f>IFERROR(ROUND(AVERAGE(H3:H17),2),"")</f>
        <v>494.47</v>
      </c>
      <c r="E20" s="15">
        <f>IFERROR(ROUND(IF(B20&lt;2,"n/a",(IF(C20&lt;=25%,"n/a",AVERAGE(I3:I17)))),2),"n/a")</f>
        <v>494.47</v>
      </c>
      <c r="F20" s="10">
        <f>IFERROR(ROUND(MEDIAN(H3:H17),2),"")</f>
        <v>578</v>
      </c>
      <c r="G20" s="11" t="str">
        <f>IFERROR(INDEX(G3:G17,MATCH(H20,H3:H17,0)),"")</f>
        <v>LUZOR GROUP LTDA</v>
      </c>
      <c r="H20" s="12">
        <f>F3</f>
        <v>120</v>
      </c>
    </row>
    <row r="22" spans="1:9" x14ac:dyDescent="0.25">
      <c r="G22" s="13" t="s">
        <v>20</v>
      </c>
      <c r="H22" s="14">
        <f>IF(C20&lt;=25%,D20,MIN(E20:F20))</f>
        <v>494.47</v>
      </c>
    </row>
    <row r="23" spans="1:9" x14ac:dyDescent="0.25">
      <c r="G23" s="13" t="s">
        <v>6</v>
      </c>
      <c r="H23" s="14">
        <f>ROUND(H22,2)*D3</f>
        <v>34612.9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3" sqref="H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27</v>
      </c>
      <c r="B3" s="30" t="s">
        <v>59</v>
      </c>
      <c r="C3" s="32" t="s">
        <v>7</v>
      </c>
      <c r="D3" s="32">
        <v>100</v>
      </c>
      <c r="E3" s="33">
        <f>IF(C20&lt;=25%,D20,MIN(E20:F20))</f>
        <v>621.41</v>
      </c>
      <c r="F3" s="33">
        <f>MIN(H3:H17)</f>
        <v>530</v>
      </c>
      <c r="G3" s="5" t="s">
        <v>119</v>
      </c>
      <c r="H3" s="16">
        <v>530</v>
      </c>
      <c r="I3" s="17">
        <f>IF(H3="","",(IF($C$20&lt;25%,"n/a",IF(H3&lt;=($D$20+$A$20),H3,"Descartado"))))</f>
        <v>530</v>
      </c>
    </row>
    <row r="4" spans="1:9" x14ac:dyDescent="0.25">
      <c r="A4" s="34"/>
      <c r="B4" s="31"/>
      <c r="C4" s="32"/>
      <c r="D4" s="32"/>
      <c r="E4" s="33"/>
      <c r="F4" s="33"/>
      <c r="G4" s="5" t="s">
        <v>184</v>
      </c>
      <c r="H4" s="16">
        <v>599</v>
      </c>
      <c r="I4" s="17">
        <f t="shared" ref="I4:I17" si="0">IF(H4="","",(IF($C$20&lt;25%,"n/a",IF(H4&lt;=($D$20+$A$20),H4,"Descartado"))))</f>
        <v>599</v>
      </c>
    </row>
    <row r="5" spans="1:9" x14ac:dyDescent="0.25">
      <c r="A5" s="34"/>
      <c r="B5" s="31"/>
      <c r="C5" s="32"/>
      <c r="D5" s="32"/>
      <c r="E5" s="33"/>
      <c r="F5" s="33"/>
      <c r="G5" s="5" t="s">
        <v>185</v>
      </c>
      <c r="H5" s="16">
        <v>609.17999999999995</v>
      </c>
      <c r="I5" s="17">
        <f t="shared" si="0"/>
        <v>609.17999999999995</v>
      </c>
    </row>
    <row r="6" spans="1:9" x14ac:dyDescent="0.25">
      <c r="A6" s="34"/>
      <c r="B6" s="31"/>
      <c r="C6" s="32"/>
      <c r="D6" s="32"/>
      <c r="E6" s="33"/>
      <c r="F6" s="33"/>
      <c r="G6" s="5" t="s">
        <v>80</v>
      </c>
      <c r="H6" s="16">
        <v>626.44000000000005</v>
      </c>
      <c r="I6" s="17">
        <f t="shared" si="0"/>
        <v>626.44000000000005</v>
      </c>
    </row>
    <row r="7" spans="1:9" x14ac:dyDescent="0.25">
      <c r="A7" s="34"/>
      <c r="B7" s="31"/>
      <c r="C7" s="32"/>
      <c r="D7" s="32"/>
      <c r="E7" s="33"/>
      <c r="F7" s="33"/>
      <c r="G7" s="5" t="s">
        <v>104</v>
      </c>
      <c r="H7" s="16">
        <v>630.19000000000005</v>
      </c>
      <c r="I7" s="17">
        <f t="shared" si="0"/>
        <v>630.19000000000005</v>
      </c>
    </row>
    <row r="8" spans="1:9" x14ac:dyDescent="0.25">
      <c r="A8" s="34"/>
      <c r="B8" s="31"/>
      <c r="C8" s="32"/>
      <c r="D8" s="32"/>
      <c r="E8" s="33"/>
      <c r="F8" s="33"/>
      <c r="G8" s="5" t="s">
        <v>186</v>
      </c>
      <c r="H8" s="16">
        <v>650</v>
      </c>
      <c r="I8" s="17">
        <f t="shared" si="0"/>
        <v>650</v>
      </c>
    </row>
    <row r="9" spans="1:9" x14ac:dyDescent="0.25">
      <c r="A9" s="34"/>
      <c r="B9" s="31"/>
      <c r="C9" s="32"/>
      <c r="D9" s="32"/>
      <c r="E9" s="33"/>
      <c r="F9" s="33"/>
      <c r="G9" s="5" t="s">
        <v>118</v>
      </c>
      <c r="H9" s="16">
        <v>656.5</v>
      </c>
      <c r="I9" s="17">
        <f t="shared" si="0"/>
        <v>656.5</v>
      </c>
    </row>
    <row r="10" spans="1:9" x14ac:dyDescent="0.25">
      <c r="A10" s="34"/>
      <c r="B10" s="31"/>
      <c r="C10" s="32"/>
      <c r="D10" s="32"/>
      <c r="E10" s="33"/>
      <c r="F10" s="33"/>
      <c r="G10" s="5" t="s">
        <v>187</v>
      </c>
      <c r="H10" s="16">
        <v>670</v>
      </c>
      <c r="I10" s="17">
        <f t="shared" si="0"/>
        <v>670</v>
      </c>
    </row>
    <row r="11" spans="1:9" x14ac:dyDescent="0.25">
      <c r="A11" s="34"/>
      <c r="B11" s="31"/>
      <c r="C11" s="32"/>
      <c r="D11" s="32"/>
      <c r="E11" s="33"/>
      <c r="F11" s="33"/>
      <c r="G11" s="5" t="s">
        <v>188</v>
      </c>
      <c r="H11" s="16">
        <v>1150</v>
      </c>
      <c r="I11" s="17" t="str">
        <f t="shared" si="0"/>
        <v>Descartado</v>
      </c>
    </row>
    <row r="12" spans="1:9" x14ac:dyDescent="0.25">
      <c r="A12" s="34"/>
      <c r="B12" s="31"/>
      <c r="C12" s="32"/>
      <c r="D12" s="32"/>
      <c r="E12" s="33"/>
      <c r="F12" s="33"/>
      <c r="G12" s="5" t="s">
        <v>89</v>
      </c>
      <c r="H12" s="16">
        <v>1220.4100000000001</v>
      </c>
      <c r="I12" s="17" t="str">
        <f t="shared" si="0"/>
        <v>Descartado</v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241.42524593201389</v>
      </c>
      <c r="B20" s="8">
        <f>COUNT(H3:H17)</f>
        <v>10</v>
      </c>
      <c r="C20" s="9">
        <f>IF(B20&lt;2,"n/a",(A20/D20))</f>
        <v>0.32884106669029506</v>
      </c>
      <c r="D20" s="10">
        <f>IFERROR(ROUND(AVERAGE(H3:H17),2),"")</f>
        <v>734.17</v>
      </c>
      <c r="E20" s="15">
        <f>IFERROR(ROUND(IF(B20&lt;2,"n/a",(IF(C20&lt;=25%,"n/a",AVERAGE(I3:I17)))),2),"n/a")</f>
        <v>621.41</v>
      </c>
      <c r="F20" s="10">
        <f>IFERROR(ROUND(MEDIAN(H3:H17),2),"")</f>
        <v>640.1</v>
      </c>
      <c r="G20" s="11" t="str">
        <f>IFERROR(INDEX(G3:G17,MATCH(H20,H3:H17,0)),"")</f>
        <v>PRIMER SOLUCOES LTDA</v>
      </c>
      <c r="H20" s="12">
        <f>F3</f>
        <v>530</v>
      </c>
    </row>
    <row r="22" spans="1:9" x14ac:dyDescent="0.25">
      <c r="G22" s="13" t="s">
        <v>20</v>
      </c>
      <c r="H22" s="14">
        <f>IF(C20&lt;=25%,D20,MIN(E20:F20))</f>
        <v>621.41</v>
      </c>
    </row>
    <row r="23" spans="1:9" x14ac:dyDescent="0.25">
      <c r="G23" s="13" t="s">
        <v>6</v>
      </c>
      <c r="H23" s="14">
        <f>ROUND(H22,2)*D3</f>
        <v>62141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7" sqref="H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28</v>
      </c>
      <c r="B3" s="30" t="s">
        <v>60</v>
      </c>
      <c r="C3" s="32" t="s">
        <v>7</v>
      </c>
      <c r="D3" s="32">
        <v>400</v>
      </c>
      <c r="E3" s="33">
        <f>IF(C20&lt;=25%,D20,MIN(E20:F20))</f>
        <v>55.33</v>
      </c>
      <c r="F3" s="33">
        <f>MIN(H3:H17)</f>
        <v>31</v>
      </c>
      <c r="G3" s="5" t="s">
        <v>189</v>
      </c>
      <c r="H3" s="16">
        <v>31</v>
      </c>
      <c r="I3" s="17">
        <f>IF(H3="","",(IF($C$20&lt;25%,"n/a",IF(H3&lt;=($D$20+$A$20),H3,"Descartado"))))</f>
        <v>31</v>
      </c>
    </row>
    <row r="4" spans="1:9" x14ac:dyDescent="0.25">
      <c r="A4" s="34"/>
      <c r="B4" s="31"/>
      <c r="C4" s="32"/>
      <c r="D4" s="32"/>
      <c r="E4" s="33"/>
      <c r="F4" s="33"/>
      <c r="G4" s="5" t="s">
        <v>190</v>
      </c>
      <c r="H4" s="16">
        <v>41.99</v>
      </c>
      <c r="I4" s="17">
        <f t="shared" ref="I4:I17" si="0">IF(H4="","",(IF($C$20&lt;25%,"n/a",IF(H4&lt;=($D$20+$A$20),H4,"Descartado"))))</f>
        <v>41.99</v>
      </c>
    </row>
    <row r="5" spans="1:9" x14ac:dyDescent="0.25">
      <c r="A5" s="34"/>
      <c r="B5" s="31"/>
      <c r="C5" s="32"/>
      <c r="D5" s="32"/>
      <c r="E5" s="33"/>
      <c r="F5" s="33"/>
      <c r="G5" s="5" t="s">
        <v>191</v>
      </c>
      <c r="H5" s="16">
        <v>92.99</v>
      </c>
      <c r="I5" s="17">
        <f t="shared" si="0"/>
        <v>92.99</v>
      </c>
    </row>
    <row r="6" spans="1:9" x14ac:dyDescent="0.25">
      <c r="A6" s="34"/>
      <c r="B6" s="31"/>
      <c r="C6" s="32"/>
      <c r="D6" s="32"/>
      <c r="E6" s="33"/>
      <c r="F6" s="33"/>
      <c r="G6" s="5" t="s">
        <v>192</v>
      </c>
      <c r="H6" s="16">
        <v>119</v>
      </c>
      <c r="I6" s="17" t="str">
        <f t="shared" si="0"/>
        <v>Descartado</v>
      </c>
    </row>
    <row r="7" spans="1:9" x14ac:dyDescent="0.25">
      <c r="A7" s="34"/>
      <c r="B7" s="31"/>
      <c r="C7" s="32"/>
      <c r="D7" s="32"/>
      <c r="E7" s="33"/>
      <c r="F7" s="33"/>
      <c r="G7" s="5"/>
      <c r="H7" s="16"/>
      <c r="I7" s="17" t="str">
        <f t="shared" si="0"/>
        <v/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41.748852678846141</v>
      </c>
      <c r="B20" s="8">
        <f>COUNT(H3:H17)</f>
        <v>4</v>
      </c>
      <c r="C20" s="9">
        <f>IF(B20&lt;2,"n/a",(A20/D20))</f>
        <v>0.58594880952766515</v>
      </c>
      <c r="D20" s="10">
        <f>IFERROR(ROUND(AVERAGE(H3:H17),2),"")</f>
        <v>71.25</v>
      </c>
      <c r="E20" s="15">
        <f>IFERROR(ROUND(IF(B20&lt;2,"n/a",(IF(C20&lt;=25%,"n/a",AVERAGE(I3:I17)))),2),"n/a")</f>
        <v>55.33</v>
      </c>
      <c r="F20" s="10">
        <f>IFERROR(ROUND(MEDIAN(H3:H17),2),"")</f>
        <v>67.489999999999995</v>
      </c>
      <c r="G20" s="11" t="str">
        <f>IFERROR(INDEX(G3:G17,MATCH(H20,H3:H17,0)),"")</f>
        <v>RAPHAEL MARCIANO CANGUSSU SILVA 99227096191</v>
      </c>
      <c r="H20" s="12">
        <f>F3</f>
        <v>31</v>
      </c>
    </row>
    <row r="22" spans="1:9" x14ac:dyDescent="0.25">
      <c r="G22" s="13" t="s">
        <v>20</v>
      </c>
      <c r="H22" s="14">
        <f>IF(C20&lt;=25%,D20,MIN(E20:F20))</f>
        <v>55.33</v>
      </c>
    </row>
    <row r="23" spans="1:9" x14ac:dyDescent="0.25">
      <c r="G23" s="13" t="s">
        <v>6</v>
      </c>
      <c r="H23" s="14">
        <f>ROUND(H22,2)*D3</f>
        <v>22132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8" sqref="H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29</v>
      </c>
      <c r="B3" s="30" t="s">
        <v>61</v>
      </c>
      <c r="C3" s="32" t="s">
        <v>7</v>
      </c>
      <c r="D3" s="32">
        <v>30</v>
      </c>
      <c r="E3" s="33">
        <f>IF(C20&lt;=25%,D20,MIN(E20:F20))</f>
        <v>47.26</v>
      </c>
      <c r="F3" s="33">
        <f>MIN(H3:H17)</f>
        <v>26</v>
      </c>
      <c r="G3" s="5" t="s">
        <v>193</v>
      </c>
      <c r="H3" s="16">
        <v>26</v>
      </c>
      <c r="I3" s="17">
        <f>IF(H3="","",(IF($C$20&lt;25%,"n/a",IF(H3&lt;=($D$20+$A$20),H3,"Descartado"))))</f>
        <v>26</v>
      </c>
    </row>
    <row r="4" spans="1:9" x14ac:dyDescent="0.25">
      <c r="A4" s="34"/>
      <c r="B4" s="31"/>
      <c r="C4" s="32"/>
      <c r="D4" s="32"/>
      <c r="E4" s="33"/>
      <c r="F4" s="33"/>
      <c r="G4" s="5" t="s">
        <v>194</v>
      </c>
      <c r="H4" s="16">
        <v>27.2</v>
      </c>
      <c r="I4" s="17">
        <f t="shared" ref="I4:I17" si="0">IF(H4="","",(IF($C$20&lt;25%,"n/a",IF(H4&lt;=($D$20+$A$20),H4,"Descartado"))))</f>
        <v>27.2</v>
      </c>
    </row>
    <row r="5" spans="1:9" x14ac:dyDescent="0.25">
      <c r="A5" s="34"/>
      <c r="B5" s="31"/>
      <c r="C5" s="32"/>
      <c r="D5" s="32"/>
      <c r="E5" s="33"/>
      <c r="F5" s="33"/>
      <c r="G5" s="5" t="s">
        <v>195</v>
      </c>
      <c r="H5" s="16">
        <v>31.88</v>
      </c>
      <c r="I5" s="17">
        <f t="shared" si="0"/>
        <v>31.88</v>
      </c>
    </row>
    <row r="6" spans="1:9" x14ac:dyDescent="0.25">
      <c r="A6" s="34"/>
      <c r="B6" s="31"/>
      <c r="C6" s="32"/>
      <c r="D6" s="32"/>
      <c r="E6" s="33"/>
      <c r="F6" s="33"/>
      <c r="G6" s="5" t="s">
        <v>196</v>
      </c>
      <c r="H6" s="16">
        <v>36</v>
      </c>
      <c r="I6" s="17">
        <f t="shared" si="0"/>
        <v>36</v>
      </c>
    </row>
    <row r="7" spans="1:9" x14ac:dyDescent="0.25">
      <c r="A7" s="34"/>
      <c r="B7" s="31"/>
      <c r="C7" s="32"/>
      <c r="D7" s="32"/>
      <c r="E7" s="33"/>
      <c r="F7" s="33"/>
      <c r="G7" s="5" t="s">
        <v>197</v>
      </c>
      <c r="H7" s="16">
        <v>39.6</v>
      </c>
      <c r="I7" s="17">
        <f t="shared" si="0"/>
        <v>39.6</v>
      </c>
    </row>
    <row r="8" spans="1:9" x14ac:dyDescent="0.25">
      <c r="A8" s="34"/>
      <c r="B8" s="31"/>
      <c r="C8" s="32"/>
      <c r="D8" s="32"/>
      <c r="E8" s="33"/>
      <c r="F8" s="33"/>
      <c r="G8" s="5" t="s">
        <v>198</v>
      </c>
      <c r="H8" s="16">
        <v>45</v>
      </c>
      <c r="I8" s="17">
        <f t="shared" si="0"/>
        <v>45</v>
      </c>
    </row>
    <row r="9" spans="1:9" x14ac:dyDescent="0.25">
      <c r="A9" s="34"/>
      <c r="B9" s="31"/>
      <c r="C9" s="32"/>
      <c r="D9" s="32"/>
      <c r="E9" s="33"/>
      <c r="F9" s="33"/>
      <c r="G9" s="5" t="s">
        <v>199</v>
      </c>
      <c r="H9" s="16">
        <v>45</v>
      </c>
      <c r="I9" s="17">
        <f t="shared" si="0"/>
        <v>45</v>
      </c>
    </row>
    <row r="10" spans="1:9" x14ac:dyDescent="0.25">
      <c r="A10" s="34"/>
      <c r="B10" s="31"/>
      <c r="C10" s="32"/>
      <c r="D10" s="32"/>
      <c r="E10" s="33"/>
      <c r="F10" s="33"/>
      <c r="G10" s="5" t="s">
        <v>200</v>
      </c>
      <c r="H10" s="16">
        <v>53</v>
      </c>
      <c r="I10" s="17">
        <f t="shared" si="0"/>
        <v>53</v>
      </c>
    </row>
    <row r="11" spans="1:9" x14ac:dyDescent="0.25">
      <c r="A11" s="34"/>
      <c r="B11" s="31"/>
      <c r="C11" s="32"/>
      <c r="D11" s="32"/>
      <c r="E11" s="33"/>
      <c r="F11" s="33"/>
      <c r="G11" s="5" t="s">
        <v>201</v>
      </c>
      <c r="H11" s="16">
        <v>54.9</v>
      </c>
      <c r="I11" s="17">
        <f t="shared" si="0"/>
        <v>54.9</v>
      </c>
    </row>
    <row r="12" spans="1:9" x14ac:dyDescent="0.25">
      <c r="A12" s="34"/>
      <c r="B12" s="31"/>
      <c r="C12" s="32"/>
      <c r="D12" s="32"/>
      <c r="E12" s="33"/>
      <c r="F12" s="33"/>
      <c r="G12" s="5" t="s">
        <v>202</v>
      </c>
      <c r="H12" s="16">
        <v>61.35</v>
      </c>
      <c r="I12" s="17">
        <f t="shared" si="0"/>
        <v>61.35</v>
      </c>
    </row>
    <row r="13" spans="1:9" x14ac:dyDescent="0.25">
      <c r="A13" s="34"/>
      <c r="B13" s="31"/>
      <c r="C13" s="32"/>
      <c r="D13" s="32"/>
      <c r="E13" s="33"/>
      <c r="F13" s="33"/>
      <c r="G13" s="5" t="s">
        <v>197</v>
      </c>
      <c r="H13" s="16">
        <v>67.34</v>
      </c>
      <c r="I13" s="17">
        <f t="shared" si="0"/>
        <v>67.34</v>
      </c>
    </row>
    <row r="14" spans="1:9" x14ac:dyDescent="0.25">
      <c r="A14" s="34"/>
      <c r="B14" s="31"/>
      <c r="C14" s="32"/>
      <c r="D14" s="32"/>
      <c r="E14" s="33"/>
      <c r="F14" s="33"/>
      <c r="G14" s="5" t="s">
        <v>203</v>
      </c>
      <c r="H14" s="16">
        <v>79.8</v>
      </c>
      <c r="I14" s="17">
        <f t="shared" si="0"/>
        <v>79.8</v>
      </c>
    </row>
    <row r="15" spans="1:9" x14ac:dyDescent="0.25">
      <c r="A15" s="34"/>
      <c r="B15" s="31"/>
      <c r="C15" s="32"/>
      <c r="D15" s="32"/>
      <c r="E15" s="33"/>
      <c r="F15" s="33"/>
      <c r="G15" s="5" t="s">
        <v>204</v>
      </c>
      <c r="H15" s="16">
        <v>92.29</v>
      </c>
      <c r="I15" s="17" t="str">
        <f t="shared" si="0"/>
        <v>Descartado</v>
      </c>
    </row>
    <row r="16" spans="1:9" x14ac:dyDescent="0.25">
      <c r="A16" s="34"/>
      <c r="B16" s="31"/>
      <c r="C16" s="32"/>
      <c r="D16" s="32"/>
      <c r="E16" s="33"/>
      <c r="F16" s="33"/>
      <c r="G16" s="5" t="s">
        <v>88</v>
      </c>
      <c r="H16" s="16">
        <v>94</v>
      </c>
      <c r="I16" s="17" t="str">
        <f t="shared" si="0"/>
        <v>Descartado</v>
      </c>
    </row>
    <row r="17" spans="1:9" x14ac:dyDescent="0.25">
      <c r="A17" s="34"/>
      <c r="B17" s="31"/>
      <c r="C17" s="32"/>
      <c r="D17" s="32"/>
      <c r="E17" s="33"/>
      <c r="F17" s="33"/>
      <c r="G17" s="5" t="s">
        <v>205</v>
      </c>
      <c r="H17" s="16">
        <v>103.97</v>
      </c>
      <c r="I17" s="17" t="str">
        <f t="shared" si="0"/>
        <v>Descartado</v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25.351959030155189</v>
      </c>
      <c r="B20" s="8">
        <f>COUNT(H3:H17)</f>
        <v>15</v>
      </c>
      <c r="C20" s="9">
        <f>IF(B20&lt;2,"n/a",(A20/D20))</f>
        <v>0.44352622516016776</v>
      </c>
      <c r="D20" s="10">
        <f>IFERROR(ROUND(AVERAGE(H3:H17),2),"")</f>
        <v>57.16</v>
      </c>
      <c r="E20" s="15">
        <f>IFERROR(ROUND(IF(B20&lt;2,"n/a",(IF(C20&lt;=25%,"n/a",AVERAGE(I3:I17)))),2),"n/a")</f>
        <v>47.26</v>
      </c>
      <c r="F20" s="10">
        <f>IFERROR(ROUND(MEDIAN(H3:H17),2),"")</f>
        <v>53</v>
      </c>
      <c r="G20" s="11" t="str">
        <f>IFERROR(INDEX(G3:G17,MATCH(H20,H3:H17,0)),"")</f>
        <v>MAX QUALITY COMERCIO LTDA</v>
      </c>
      <c r="H20" s="12">
        <f>F3</f>
        <v>26</v>
      </c>
    </row>
    <row r="22" spans="1:9" x14ac:dyDescent="0.25">
      <c r="G22" s="13" t="s">
        <v>20</v>
      </c>
      <c r="H22" s="14">
        <f>IF(C20&lt;=25%,D20,MIN(E20:F20))</f>
        <v>47.26</v>
      </c>
    </row>
    <row r="23" spans="1:9" x14ac:dyDescent="0.25">
      <c r="G23" s="13" t="s">
        <v>6</v>
      </c>
      <c r="H23" s="14">
        <f>ROUND(H22,2)*D3</f>
        <v>1417.8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1"/>
  <sheetViews>
    <sheetView view="pageBreakPreview" zoomScaleNormal="100" zoomScaleSheetLayoutView="100" workbookViewId="0">
      <selection activeCell="G3" sqref="G3: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3</v>
      </c>
      <c r="B3" s="30" t="s">
        <v>37</v>
      </c>
      <c r="C3" s="32" t="s">
        <v>7</v>
      </c>
      <c r="D3" s="32">
        <f>500-Item35!D3</f>
        <v>375</v>
      </c>
      <c r="E3" s="33">
        <f>IF(C20&lt;=25%,D20,MIN(E20:F20))</f>
        <v>550.75</v>
      </c>
      <c r="F3" s="33">
        <f>MIN(H3:H17)</f>
        <v>219.5</v>
      </c>
      <c r="G3" s="5" t="s">
        <v>231</v>
      </c>
      <c r="H3" s="16">
        <v>599.99</v>
      </c>
      <c r="I3" s="17">
        <f>IF(H3="","",(IF($C$20&lt;25%,"n/a",IF(H3&lt;=($D$20+$A$20),H3,"Descartado"))))</f>
        <v>599.99</v>
      </c>
    </row>
    <row r="4" spans="1:9" x14ac:dyDescent="0.25">
      <c r="A4" s="34"/>
      <c r="B4" s="31"/>
      <c r="C4" s="32"/>
      <c r="D4" s="32"/>
      <c r="E4" s="33"/>
      <c r="F4" s="33"/>
      <c r="G4" s="5" t="s">
        <v>232</v>
      </c>
      <c r="H4" s="16">
        <v>219.5</v>
      </c>
      <c r="I4" s="17">
        <f>IF(H4="","",(IF($C$20&lt;25%,"n/a",IF(H4&lt;=($D$20+$A$20),H4,"Descartado"))))</f>
        <v>219.5</v>
      </c>
    </row>
    <row r="5" spans="1:9" x14ac:dyDescent="0.25">
      <c r="A5" s="34"/>
      <c r="B5" s="31"/>
      <c r="C5" s="32"/>
      <c r="D5" s="32"/>
      <c r="E5" s="33"/>
      <c r="F5" s="33"/>
      <c r="G5" s="5" t="s">
        <v>233</v>
      </c>
      <c r="H5" s="16">
        <v>832.76</v>
      </c>
      <c r="I5" s="17">
        <f t="shared" ref="I5:I17" si="0">IF(H5="","",(IF($C$20&lt;25%,"n/a",IF(H5&lt;=($D$20+$A$20),H5,"Descartado"))))</f>
        <v>832.76</v>
      </c>
    </row>
    <row r="6" spans="1:9" x14ac:dyDescent="0.25">
      <c r="A6" s="34"/>
      <c r="B6" s="31"/>
      <c r="C6" s="32"/>
      <c r="D6" s="32"/>
      <c r="E6" s="33"/>
      <c r="F6" s="33"/>
      <c r="G6" s="5"/>
      <c r="H6" s="16"/>
      <c r="I6" s="17" t="str">
        <f t="shared" si="0"/>
        <v/>
      </c>
    </row>
    <row r="7" spans="1:9" x14ac:dyDescent="0.25">
      <c r="A7" s="34"/>
      <c r="B7" s="31"/>
      <c r="C7" s="32"/>
      <c r="D7" s="32"/>
      <c r="E7" s="33"/>
      <c r="F7" s="33"/>
      <c r="G7" s="5"/>
      <c r="H7" s="16"/>
      <c r="I7" s="17" t="str">
        <f t="shared" si="0"/>
        <v/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309.58099118001411</v>
      </c>
      <c r="B20" s="8">
        <f>COUNT(H3:H17)</f>
        <v>3</v>
      </c>
      <c r="C20" s="9">
        <f>IF(B20&lt;2,"n/a",(A20/D20))</f>
        <v>0.56210801848391123</v>
      </c>
      <c r="D20" s="10">
        <f>IFERROR(ROUND(AVERAGE(H3:H17),2),"")</f>
        <v>550.75</v>
      </c>
      <c r="E20" s="15">
        <f>IFERROR(ROUND(IF(B20&lt;2,"n/a",(IF(C20&lt;=25%,"n/a",AVERAGE(I3:I17)))),2),"n/a")</f>
        <v>550.75</v>
      </c>
      <c r="F20" s="10">
        <f>IFERROR(ROUND(MEDIAN(H3:H17),2),"")</f>
        <v>599.99</v>
      </c>
      <c r="G20" s="11" t="str">
        <f>IFERROR(INDEX(G3:G17,MATCH(H20,H3:H17,0)),"")</f>
        <v>NET COMPUTADORES</v>
      </c>
      <c r="H20" s="12">
        <f>F3</f>
        <v>219.5</v>
      </c>
    </row>
    <row r="22" spans="1:9" x14ac:dyDescent="0.25">
      <c r="G22" s="13" t="s">
        <v>20</v>
      </c>
      <c r="H22" s="14">
        <f>IF(C20&lt;=25%,D20,MIN(E20:F20))</f>
        <v>550.75</v>
      </c>
    </row>
    <row r="23" spans="1:9" x14ac:dyDescent="0.25">
      <c r="G23" s="13" t="s">
        <v>6</v>
      </c>
      <c r="H23" s="14">
        <f>ROUND(H22,2)*D3</f>
        <v>206531.25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30</v>
      </c>
      <c r="B3" s="30" t="s">
        <v>62</v>
      </c>
      <c r="C3" s="32" t="s">
        <v>7</v>
      </c>
      <c r="D3" s="32">
        <v>30</v>
      </c>
      <c r="E3" s="33">
        <f>IF(C20&lt;=25%,D20,MIN(E20:F20))</f>
        <v>50</v>
      </c>
      <c r="F3" s="33">
        <f>MIN(H3:H17)</f>
        <v>14.5</v>
      </c>
      <c r="G3" s="5" t="s">
        <v>206</v>
      </c>
      <c r="H3" s="16">
        <v>18.75</v>
      </c>
      <c r="I3" s="17">
        <f>IF(H3="","",(IF($C$20&lt;25%,"n/a",IF(H3&lt;=($D$20+$A$20),H3,"Descartado"))))</f>
        <v>18.75</v>
      </c>
    </row>
    <row r="4" spans="1:9" x14ac:dyDescent="0.25">
      <c r="A4" s="34"/>
      <c r="B4" s="31"/>
      <c r="C4" s="32"/>
      <c r="D4" s="32"/>
      <c r="E4" s="33"/>
      <c r="F4" s="33"/>
      <c r="G4" s="5" t="s">
        <v>207</v>
      </c>
      <c r="H4" s="16">
        <v>48</v>
      </c>
      <c r="I4" s="17">
        <f t="shared" ref="I4:I17" si="0">IF(H4="","",(IF($C$20&lt;25%,"n/a",IF(H4&lt;=($D$20+$A$20),H4,"Descartado"))))</f>
        <v>48</v>
      </c>
    </row>
    <row r="5" spans="1:9" x14ac:dyDescent="0.25">
      <c r="A5" s="34"/>
      <c r="B5" s="31"/>
      <c r="C5" s="32"/>
      <c r="D5" s="32"/>
      <c r="E5" s="33"/>
      <c r="F5" s="33"/>
      <c r="G5" s="5" t="s">
        <v>208</v>
      </c>
      <c r="H5" s="16">
        <v>50</v>
      </c>
      <c r="I5" s="17">
        <f t="shared" si="0"/>
        <v>50</v>
      </c>
    </row>
    <row r="6" spans="1:9" x14ac:dyDescent="0.25">
      <c r="A6" s="34"/>
      <c r="B6" s="31"/>
      <c r="C6" s="32"/>
      <c r="D6" s="32"/>
      <c r="E6" s="33"/>
      <c r="F6" s="33"/>
      <c r="G6" s="5" t="s">
        <v>209</v>
      </c>
      <c r="H6" s="16">
        <v>51.17</v>
      </c>
      <c r="I6" s="17">
        <f t="shared" si="0"/>
        <v>51.17</v>
      </c>
    </row>
    <row r="7" spans="1:9" x14ac:dyDescent="0.25">
      <c r="A7" s="34"/>
      <c r="B7" s="31"/>
      <c r="C7" s="32"/>
      <c r="D7" s="32"/>
      <c r="E7" s="33"/>
      <c r="F7" s="33"/>
      <c r="G7" s="5" t="s">
        <v>220</v>
      </c>
      <c r="H7" s="16">
        <v>14.5</v>
      </c>
      <c r="I7" s="17">
        <f t="shared" si="0"/>
        <v>14.5</v>
      </c>
    </row>
    <row r="8" spans="1:9" x14ac:dyDescent="0.25">
      <c r="A8" s="34"/>
      <c r="B8" s="31"/>
      <c r="C8" s="32"/>
      <c r="D8" s="32"/>
      <c r="E8" s="33"/>
      <c r="F8" s="33"/>
      <c r="G8" s="5" t="s">
        <v>175</v>
      </c>
      <c r="H8" s="16">
        <v>152.13999999999999</v>
      </c>
      <c r="I8" s="17">
        <f t="shared" si="0"/>
        <v>152.13999999999999</v>
      </c>
    </row>
    <row r="9" spans="1:9" x14ac:dyDescent="0.25">
      <c r="A9" s="34"/>
      <c r="B9" s="31"/>
      <c r="C9" s="32"/>
      <c r="D9" s="32"/>
      <c r="E9" s="33"/>
      <c r="F9" s="33"/>
      <c r="G9" s="5" t="s">
        <v>221</v>
      </c>
      <c r="H9" s="16">
        <v>799.86</v>
      </c>
      <c r="I9" s="17" t="str">
        <f t="shared" si="0"/>
        <v>Descartado</v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284.91597457262145</v>
      </c>
      <c r="B20" s="8">
        <f>COUNT(H3:H17)</f>
        <v>7</v>
      </c>
      <c r="C20" s="9">
        <f>IF(B20&lt;2,"n/a",(A20/D20))</f>
        <v>1.7580894395447455</v>
      </c>
      <c r="D20" s="10">
        <f>IFERROR(ROUND(AVERAGE(H3:H17),2),"")</f>
        <v>162.06</v>
      </c>
      <c r="E20" s="15">
        <f>IFERROR(ROUND(IF(B20&lt;2,"n/a",(IF(C20&lt;=25%,"n/a",AVERAGE(I3:I17)))),2),"n/a")</f>
        <v>55.76</v>
      </c>
      <c r="F20" s="10">
        <f>IFERROR(ROUND(MEDIAN(H3:H17),2),"")</f>
        <v>50</v>
      </c>
      <c r="G20" s="11" t="str">
        <f>IFERROR(INDEX(G3:G17,MATCH(H20,H3:H17,0)),"")</f>
        <v>INDUSAT INDUSTRIA E COMERCIO LTDA</v>
      </c>
      <c r="H20" s="12">
        <f>F3</f>
        <v>14.5</v>
      </c>
    </row>
    <row r="22" spans="1:9" x14ac:dyDescent="0.25">
      <c r="G22" s="13" t="s">
        <v>20</v>
      </c>
      <c r="H22" s="14">
        <f>IF(C20&lt;=25%,D20,MIN(E20:F20))</f>
        <v>50</v>
      </c>
    </row>
    <row r="23" spans="1:9" x14ac:dyDescent="0.25">
      <c r="G23" s="13" t="s">
        <v>6</v>
      </c>
      <c r="H23" s="14">
        <f>ROUND(H22,2)*D3</f>
        <v>1500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4" sqref="H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31</v>
      </c>
      <c r="B3" s="30" t="s">
        <v>63</v>
      </c>
      <c r="C3" s="32" t="s">
        <v>7</v>
      </c>
      <c r="D3" s="32">
        <v>400</v>
      </c>
      <c r="E3" s="33">
        <f>IF(C20&lt;=25%,D20,MIN(E20:F20))</f>
        <v>39.57</v>
      </c>
      <c r="F3" s="33">
        <f>MIN(H3:H17)</f>
        <v>22.9</v>
      </c>
      <c r="G3" s="5" t="s">
        <v>210</v>
      </c>
      <c r="H3" s="16">
        <v>22.9</v>
      </c>
      <c r="I3" s="17">
        <f>IF(H3="","",(IF($C$20&lt;25%,"n/a",IF(H3&lt;=($D$20+$A$20),H3,"Descartado"))))</f>
        <v>22.9</v>
      </c>
    </row>
    <row r="4" spans="1:9" x14ac:dyDescent="0.25">
      <c r="A4" s="34"/>
      <c r="B4" s="31"/>
      <c r="C4" s="32"/>
      <c r="D4" s="32"/>
      <c r="E4" s="33"/>
      <c r="F4" s="33"/>
      <c r="G4" s="5" t="s">
        <v>211</v>
      </c>
      <c r="H4" s="16">
        <v>29.83</v>
      </c>
      <c r="I4" s="17">
        <f t="shared" ref="I4:I17" si="0">IF(H4="","",(IF($C$20&lt;25%,"n/a",IF(H4&lt;=($D$20+$A$20),H4,"Descartado"))))</f>
        <v>29.83</v>
      </c>
    </row>
    <row r="5" spans="1:9" x14ac:dyDescent="0.25">
      <c r="A5" s="34"/>
      <c r="B5" s="31"/>
      <c r="C5" s="32"/>
      <c r="D5" s="32"/>
      <c r="E5" s="33"/>
      <c r="F5" s="33"/>
      <c r="G5" s="5" t="s">
        <v>212</v>
      </c>
      <c r="H5" s="16">
        <v>30.31</v>
      </c>
      <c r="I5" s="17">
        <f t="shared" si="0"/>
        <v>30.31</v>
      </c>
    </row>
    <row r="6" spans="1:9" x14ac:dyDescent="0.25">
      <c r="A6" s="34"/>
      <c r="B6" s="31"/>
      <c r="C6" s="32"/>
      <c r="D6" s="32"/>
      <c r="E6" s="33"/>
      <c r="F6" s="33"/>
      <c r="G6" s="5" t="s">
        <v>213</v>
      </c>
      <c r="H6" s="16">
        <v>31</v>
      </c>
      <c r="I6" s="17">
        <f t="shared" si="0"/>
        <v>31</v>
      </c>
    </row>
    <row r="7" spans="1:9" x14ac:dyDescent="0.25">
      <c r="A7" s="34"/>
      <c r="B7" s="31"/>
      <c r="C7" s="32"/>
      <c r="D7" s="32"/>
      <c r="E7" s="33"/>
      <c r="F7" s="33"/>
      <c r="G7" s="5" t="s">
        <v>189</v>
      </c>
      <c r="H7" s="16">
        <v>31</v>
      </c>
      <c r="I7" s="17">
        <f t="shared" si="0"/>
        <v>31</v>
      </c>
    </row>
    <row r="8" spans="1:9" x14ac:dyDescent="0.25">
      <c r="A8" s="34"/>
      <c r="B8" s="31"/>
      <c r="C8" s="32"/>
      <c r="D8" s="32"/>
      <c r="E8" s="33"/>
      <c r="F8" s="33"/>
      <c r="G8" s="5" t="s">
        <v>214</v>
      </c>
      <c r="H8" s="16">
        <v>39.57</v>
      </c>
      <c r="I8" s="17">
        <f t="shared" si="0"/>
        <v>39.57</v>
      </c>
    </row>
    <row r="9" spans="1:9" x14ac:dyDescent="0.25">
      <c r="A9" s="34"/>
      <c r="B9" s="31"/>
      <c r="C9" s="32"/>
      <c r="D9" s="32"/>
      <c r="E9" s="33"/>
      <c r="F9" s="33"/>
      <c r="G9" s="5" t="s">
        <v>190</v>
      </c>
      <c r="H9" s="16">
        <v>41.99</v>
      </c>
      <c r="I9" s="17">
        <f t="shared" si="0"/>
        <v>41.99</v>
      </c>
    </row>
    <row r="10" spans="1:9" x14ac:dyDescent="0.25">
      <c r="A10" s="34"/>
      <c r="B10" s="31"/>
      <c r="C10" s="32"/>
      <c r="D10" s="32"/>
      <c r="E10" s="33"/>
      <c r="F10" s="33"/>
      <c r="G10" s="5" t="s">
        <v>215</v>
      </c>
      <c r="H10" s="16">
        <v>54.85</v>
      </c>
      <c r="I10" s="17">
        <f t="shared" si="0"/>
        <v>54.85</v>
      </c>
    </row>
    <row r="11" spans="1:9" x14ac:dyDescent="0.25">
      <c r="A11" s="34"/>
      <c r="B11" s="31"/>
      <c r="C11" s="32"/>
      <c r="D11" s="32"/>
      <c r="E11" s="33"/>
      <c r="F11" s="33"/>
      <c r="G11" s="5" t="s">
        <v>216</v>
      </c>
      <c r="H11" s="16">
        <v>92</v>
      </c>
      <c r="I11" s="17">
        <f t="shared" si="0"/>
        <v>92</v>
      </c>
    </row>
    <row r="12" spans="1:9" x14ac:dyDescent="0.25">
      <c r="A12" s="34"/>
      <c r="B12" s="31"/>
      <c r="C12" s="32"/>
      <c r="D12" s="32"/>
      <c r="E12" s="33"/>
      <c r="F12" s="33"/>
      <c r="G12" s="5" t="s">
        <v>191</v>
      </c>
      <c r="H12" s="16">
        <v>92.99</v>
      </c>
      <c r="I12" s="17">
        <f t="shared" si="0"/>
        <v>92.99</v>
      </c>
    </row>
    <row r="13" spans="1:9" x14ac:dyDescent="0.25">
      <c r="A13" s="34"/>
      <c r="B13" s="31"/>
      <c r="C13" s="32"/>
      <c r="D13" s="32"/>
      <c r="E13" s="33"/>
      <c r="F13" s="33"/>
      <c r="G13" s="5" t="s">
        <v>211</v>
      </c>
      <c r="H13" s="16">
        <v>179</v>
      </c>
      <c r="I13" s="17" t="str">
        <f t="shared" si="0"/>
        <v>Descartado</v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46.768013058655214</v>
      </c>
      <c r="B20" s="8">
        <f>COUNT(H3:H17)</f>
        <v>11</v>
      </c>
      <c r="C20" s="9">
        <f>IF(B20&lt;2,"n/a",(A20/D20))</f>
        <v>0.79700090420339498</v>
      </c>
      <c r="D20" s="10">
        <f>IFERROR(ROUND(AVERAGE(H3:H17),2),"")</f>
        <v>58.68</v>
      </c>
      <c r="E20" s="15">
        <f>IFERROR(ROUND(IF(B20&lt;2,"n/a",(IF(C20&lt;=25%,"n/a",AVERAGE(I3:I17)))),2),"n/a")</f>
        <v>46.64</v>
      </c>
      <c r="F20" s="10">
        <f>IFERROR(ROUND(MEDIAN(H3:H17),2),"")</f>
        <v>39.57</v>
      </c>
      <c r="G20" s="11" t="str">
        <f>IFERROR(INDEX(G3:G17,MATCH(H20,H3:H17,0)),"")</f>
        <v>LD 209 MAGALHAES DISTRIBUIDORA DE MATERIAL DE CONSTRUCAO LTDA</v>
      </c>
      <c r="H20" s="12">
        <f>F3</f>
        <v>22.9</v>
      </c>
    </row>
    <row r="22" spans="1:9" x14ac:dyDescent="0.25">
      <c r="G22" s="13" t="s">
        <v>20</v>
      </c>
      <c r="H22" s="14">
        <f>IF(C20&lt;=25%,D20,MIN(E20:F20))</f>
        <v>39.57</v>
      </c>
    </row>
    <row r="23" spans="1:9" x14ac:dyDescent="0.25">
      <c r="G23" s="13" t="s">
        <v>6</v>
      </c>
      <c r="H23" s="14">
        <f>ROUND(H22,2)*D3</f>
        <v>15828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32</v>
      </c>
      <c r="B3" s="30" t="s">
        <v>64</v>
      </c>
      <c r="C3" s="32" t="s">
        <v>7</v>
      </c>
      <c r="D3" s="32">
        <v>230</v>
      </c>
      <c r="E3" s="33">
        <f>IF(C20&lt;=25%,D20,MIN(E20:F20))</f>
        <v>1134.54</v>
      </c>
      <c r="F3" s="33">
        <f>MIN(H3:H17)</f>
        <v>700.99</v>
      </c>
      <c r="G3" s="5" t="s">
        <v>233</v>
      </c>
      <c r="H3" s="16">
        <v>1611.71</v>
      </c>
      <c r="I3" s="17" t="str">
        <f>IF(H3="","",(IF($C$20&lt;25%,"n/a",IF(H3&lt;=($D$20+$A$20),H3,"Descartado"))))</f>
        <v>Descartado</v>
      </c>
    </row>
    <row r="4" spans="1:9" x14ac:dyDescent="0.25">
      <c r="A4" s="34"/>
      <c r="B4" s="31"/>
      <c r="C4" s="32"/>
      <c r="D4" s="32"/>
      <c r="E4" s="33"/>
      <c r="F4" s="33"/>
      <c r="G4" s="5" t="s">
        <v>259</v>
      </c>
      <c r="H4" s="16">
        <v>700.99</v>
      </c>
      <c r="I4" s="17">
        <f t="shared" ref="I4:I17" si="0">IF(H4="","",(IF($C$20&lt;25%,"n/a",IF(H4&lt;=($D$20+$A$20),H4,"Descartado"))))</f>
        <v>700.99</v>
      </c>
    </row>
    <row r="5" spans="1:9" x14ac:dyDescent="0.25">
      <c r="A5" s="34"/>
      <c r="B5" s="31"/>
      <c r="C5" s="32"/>
      <c r="D5" s="32"/>
      <c r="E5" s="33"/>
      <c r="F5" s="33"/>
      <c r="G5" s="5" t="s">
        <v>260</v>
      </c>
      <c r="H5" s="16">
        <v>1406.25</v>
      </c>
      <c r="I5" s="17">
        <f t="shared" si="0"/>
        <v>1406.25</v>
      </c>
    </row>
    <row r="6" spans="1:9" x14ac:dyDescent="0.25">
      <c r="A6" s="34"/>
      <c r="B6" s="31"/>
      <c r="C6" s="32"/>
      <c r="D6" s="32"/>
      <c r="E6" s="33"/>
      <c r="F6" s="33"/>
      <c r="G6" s="5" t="s">
        <v>261</v>
      </c>
      <c r="H6" s="16">
        <v>1342.82</v>
      </c>
      <c r="I6" s="17">
        <f t="shared" si="0"/>
        <v>1342.82</v>
      </c>
    </row>
    <row r="7" spans="1:9" x14ac:dyDescent="0.25">
      <c r="A7" s="34"/>
      <c r="B7" s="31"/>
      <c r="C7" s="32"/>
      <c r="D7" s="32"/>
      <c r="E7" s="33"/>
      <c r="F7" s="33"/>
      <c r="G7" s="5" t="s">
        <v>235</v>
      </c>
      <c r="H7" s="16">
        <v>1088.0999999999999</v>
      </c>
      <c r="I7" s="17">
        <f t="shared" si="0"/>
        <v>1088.0999999999999</v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349.81499600503184</v>
      </c>
      <c r="B20" s="8">
        <f>COUNT(H3:H17)</f>
        <v>5</v>
      </c>
      <c r="C20" s="9">
        <f>IF(B20&lt;2,"n/a",(A20/D20))</f>
        <v>0.28440937259041427</v>
      </c>
      <c r="D20" s="10">
        <f>IFERROR(ROUND(AVERAGE(H3:H17),2),"")</f>
        <v>1229.97</v>
      </c>
      <c r="E20" s="15">
        <f>IFERROR(ROUND(IF(B20&lt;2,"n/a",(IF(C20&lt;=25%,"n/a",AVERAGE(I3:I17)))),2),"n/a")</f>
        <v>1134.54</v>
      </c>
      <c r="F20" s="10">
        <f>IFERROR(ROUND(MEDIAN(H3:H17),2),"")</f>
        <v>1342.82</v>
      </c>
      <c r="G20" s="11" t="str">
        <f>IFERROR(INDEX(G3:G17,MATCH(H20,H3:H17,0)),"")</f>
        <v>TECH INN</v>
      </c>
      <c r="H20" s="12">
        <f>F3</f>
        <v>700.99</v>
      </c>
    </row>
    <row r="22" spans="1:9" x14ac:dyDescent="0.25">
      <c r="G22" s="13" t="s">
        <v>20</v>
      </c>
      <c r="H22" s="14">
        <f>IF(C20&lt;=25%,D20,MIN(E20:F20))</f>
        <v>1134.54</v>
      </c>
    </row>
    <row r="23" spans="1:9" x14ac:dyDescent="0.25">
      <c r="G23" s="13" t="s">
        <v>6</v>
      </c>
      <c r="H23" s="14">
        <f>ROUND(H22,2)*D3</f>
        <v>260944.19999999998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33</v>
      </c>
      <c r="B3" s="30" t="s">
        <v>68</v>
      </c>
      <c r="C3" s="32" t="s">
        <v>7</v>
      </c>
      <c r="D3" s="32">
        <v>20</v>
      </c>
      <c r="E3" s="33">
        <f>IF(C20&lt;=25%,D20,MIN(E20:F20))</f>
        <v>1441.7</v>
      </c>
      <c r="F3" s="33">
        <f>MIN(H3:H17)</f>
        <v>1298.9000000000001</v>
      </c>
      <c r="G3" s="5" t="s">
        <v>226</v>
      </c>
      <c r="H3" s="16">
        <v>1599</v>
      </c>
      <c r="I3" s="17">
        <f>IF(H3="","",(IF($C$20&lt;25%,"n/a",IF(H3&lt;=($D$20+$A$20),H3,"Descartado"))))</f>
        <v>1599</v>
      </c>
    </row>
    <row r="4" spans="1:9" x14ac:dyDescent="0.25">
      <c r="A4" s="34"/>
      <c r="B4" s="31"/>
      <c r="C4" s="32"/>
      <c r="D4" s="32"/>
      <c r="E4" s="33"/>
      <c r="F4" s="33"/>
      <c r="G4" s="5" t="s">
        <v>223</v>
      </c>
      <c r="H4" s="16">
        <v>1369.9</v>
      </c>
      <c r="I4" s="17">
        <f t="shared" ref="I4:I17" si="0">IF(H4="","",(IF($C$20&lt;25%,"n/a",IF(H4&lt;=($D$20+$A$20),H4,"Descartado"))))</f>
        <v>1369.9</v>
      </c>
    </row>
    <row r="5" spans="1:9" x14ac:dyDescent="0.25">
      <c r="A5" s="34"/>
      <c r="B5" s="31"/>
      <c r="C5" s="32"/>
      <c r="D5" s="32"/>
      <c r="E5" s="33"/>
      <c r="F5" s="33"/>
      <c r="G5" s="5" t="s">
        <v>262</v>
      </c>
      <c r="H5" s="16">
        <v>3400</v>
      </c>
      <c r="I5" s="17" t="str">
        <f t="shared" si="0"/>
        <v>Descartado</v>
      </c>
    </row>
    <row r="6" spans="1:9" x14ac:dyDescent="0.25">
      <c r="A6" s="34"/>
      <c r="B6" s="31"/>
      <c r="C6" s="32"/>
      <c r="D6" s="32"/>
      <c r="E6" s="33"/>
      <c r="F6" s="33"/>
      <c r="G6" s="5" t="s">
        <v>240</v>
      </c>
      <c r="H6" s="16">
        <v>1499</v>
      </c>
      <c r="I6" s="17">
        <f t="shared" si="0"/>
        <v>1499</v>
      </c>
    </row>
    <row r="7" spans="1:9" x14ac:dyDescent="0.25">
      <c r="A7" s="34"/>
      <c r="B7" s="31"/>
      <c r="C7" s="32"/>
      <c r="D7" s="32"/>
      <c r="E7" s="33"/>
      <c r="F7" s="33"/>
      <c r="G7" s="5" t="s">
        <v>263</v>
      </c>
      <c r="H7" s="16">
        <v>1298.9000000000001</v>
      </c>
      <c r="I7" s="17">
        <f t="shared" si="0"/>
        <v>1298.9000000000001</v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883.39186831213294</v>
      </c>
      <c r="B20" s="8">
        <f>COUNT(H3:H17)</f>
        <v>5</v>
      </c>
      <c r="C20" s="9">
        <f>IF(B20&lt;2,"n/a",(A20/D20))</f>
        <v>0.48184310136150726</v>
      </c>
      <c r="D20" s="10">
        <f>IFERROR(ROUND(AVERAGE(H3:H17),2),"")</f>
        <v>1833.36</v>
      </c>
      <c r="E20" s="15">
        <f>IFERROR(ROUND(IF(B20&lt;2,"n/a",(IF(C20&lt;=25%,"n/a",AVERAGE(I3:I17)))),2),"n/a")</f>
        <v>1441.7</v>
      </c>
      <c r="F20" s="10">
        <f>IFERROR(ROUND(MEDIAN(H3:H17),2),"")</f>
        <v>1499</v>
      </c>
      <c r="G20" s="11" t="str">
        <f>IFERROR(INDEX(G3:G17,MATCH(H20,H3:H17,0)),"")</f>
        <v>CASA E VIDEO</v>
      </c>
      <c r="H20" s="12">
        <f>F3</f>
        <v>1298.9000000000001</v>
      </c>
    </row>
    <row r="22" spans="1:9" x14ac:dyDescent="0.25">
      <c r="G22" s="13" t="s">
        <v>20</v>
      </c>
      <c r="H22" s="14">
        <f>IF(C20&lt;=25%,D20,MIN(E20:F20))</f>
        <v>1441.7</v>
      </c>
    </row>
    <row r="23" spans="1:9" x14ac:dyDescent="0.25">
      <c r="G23" s="13" t="s">
        <v>6</v>
      </c>
      <c r="H23" s="14">
        <f>ROUND(H22,2)*D3</f>
        <v>28834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34</v>
      </c>
      <c r="B3" s="30" t="s">
        <v>69</v>
      </c>
      <c r="C3" s="32" t="s">
        <v>7</v>
      </c>
      <c r="D3" s="32">
        <f>140-Item1!D3</f>
        <v>35</v>
      </c>
      <c r="E3" s="33">
        <f>IF(C20&lt;=25%,D20,MIN(E20:F20))</f>
        <v>1024.54</v>
      </c>
      <c r="F3" s="33">
        <f>MIN(H3:H17)</f>
        <v>933.21</v>
      </c>
      <c r="G3" s="5" t="s">
        <v>222</v>
      </c>
      <c r="H3" s="16">
        <v>933.21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223</v>
      </c>
      <c r="H4" s="16">
        <v>1049.9000000000001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224</v>
      </c>
      <c r="H5" s="16">
        <v>996.55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225</v>
      </c>
      <c r="H6" s="16">
        <v>1044.05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226</v>
      </c>
      <c r="H7" s="16">
        <v>1099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62.635194339923615</v>
      </c>
      <c r="B20" s="8">
        <f>COUNT(H3:H17)</f>
        <v>5</v>
      </c>
      <c r="C20" s="9">
        <f>IF(B20&lt;2,"n/a",(A20/D20))</f>
        <v>6.1134942842567021E-2</v>
      </c>
      <c r="D20" s="10">
        <f>IFERROR(ROUND(AVERAGE(H3:H17),2),"")</f>
        <v>1024.54</v>
      </c>
      <c r="E20" s="15" t="str">
        <f>IFERROR(ROUND(IF(B20&lt;2,"n/a",(IF(C20&lt;=25%,"n/a",AVERAGE(I3:I17)))),2),"n/a")</f>
        <v>n/a</v>
      </c>
      <c r="F20" s="10">
        <f>IFERROR(ROUND(MEDIAN(H3:H17),2),"")</f>
        <v>1044.05</v>
      </c>
      <c r="G20" s="11" t="str">
        <f>IFERROR(INDEX(G3:G17,MATCH(H20,H3:H17,0)),"")</f>
        <v>LE BISCUIT</v>
      </c>
      <c r="H20" s="12">
        <f>F3</f>
        <v>933.21</v>
      </c>
    </row>
    <row r="22" spans="1:9" x14ac:dyDescent="0.25">
      <c r="G22" s="13" t="s">
        <v>20</v>
      </c>
      <c r="H22" s="14">
        <f>IF(C20&lt;=25%,D20,MIN(E20:F20))</f>
        <v>1024.54</v>
      </c>
    </row>
    <row r="23" spans="1:9" x14ac:dyDescent="0.25">
      <c r="G23" s="13" t="s">
        <v>6</v>
      </c>
      <c r="H23" s="14">
        <f>ROUND(H22,2)*D3</f>
        <v>35858.9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35</v>
      </c>
      <c r="B3" s="30" t="s">
        <v>37</v>
      </c>
      <c r="C3" s="32" t="s">
        <v>7</v>
      </c>
      <c r="D3" s="32">
        <f>500*0.25</f>
        <v>125</v>
      </c>
      <c r="E3" s="33">
        <f>IF(C20&lt;=25%,D20,MIN(E20:F20))</f>
        <v>550.75</v>
      </c>
      <c r="F3" s="33">
        <f>MIN(H3:H17)</f>
        <v>219.5</v>
      </c>
      <c r="G3" s="5" t="s">
        <v>231</v>
      </c>
      <c r="H3" s="16">
        <v>599.99</v>
      </c>
      <c r="I3" s="17">
        <f>IF(H3="","",(IF($C$20&lt;25%,"n/a",IF(H3&lt;=($D$20+$A$20),H3,"Descartado"))))</f>
        <v>599.99</v>
      </c>
    </row>
    <row r="4" spans="1:9" x14ac:dyDescent="0.25">
      <c r="A4" s="34"/>
      <c r="B4" s="31"/>
      <c r="C4" s="32"/>
      <c r="D4" s="32"/>
      <c r="E4" s="33"/>
      <c r="F4" s="33"/>
      <c r="G4" s="5" t="s">
        <v>232</v>
      </c>
      <c r="H4" s="16">
        <v>219.5</v>
      </c>
      <c r="I4" s="17">
        <f t="shared" ref="I4:I17" si="0">IF(H4="","",(IF($C$20&lt;25%,"n/a",IF(H4&lt;=($D$20+$A$20),H4,"Descartado"))))</f>
        <v>219.5</v>
      </c>
    </row>
    <row r="5" spans="1:9" x14ac:dyDescent="0.25">
      <c r="A5" s="34"/>
      <c r="B5" s="31"/>
      <c r="C5" s="32"/>
      <c r="D5" s="32"/>
      <c r="E5" s="33"/>
      <c r="F5" s="33"/>
      <c r="G5" s="5" t="s">
        <v>233</v>
      </c>
      <c r="H5" s="16">
        <v>832.76</v>
      </c>
      <c r="I5" s="17">
        <f t="shared" si="0"/>
        <v>832.76</v>
      </c>
    </row>
    <row r="6" spans="1:9" x14ac:dyDescent="0.25">
      <c r="A6" s="34"/>
      <c r="B6" s="31"/>
      <c r="C6" s="32"/>
      <c r="D6" s="32"/>
      <c r="E6" s="33"/>
      <c r="F6" s="33"/>
      <c r="G6" s="5"/>
      <c r="H6" s="16"/>
      <c r="I6" s="17" t="str">
        <f t="shared" si="0"/>
        <v/>
      </c>
    </row>
    <row r="7" spans="1:9" x14ac:dyDescent="0.25">
      <c r="A7" s="34"/>
      <c r="B7" s="31"/>
      <c r="C7" s="32"/>
      <c r="D7" s="32"/>
      <c r="E7" s="33"/>
      <c r="F7" s="33"/>
      <c r="G7" s="5"/>
      <c r="H7" s="16"/>
      <c r="I7" s="17" t="str">
        <f t="shared" si="0"/>
        <v/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309.58099118001411</v>
      </c>
      <c r="B20" s="8">
        <f>COUNT(H3:H17)</f>
        <v>3</v>
      </c>
      <c r="C20" s="9">
        <f>IF(B20&lt;2,"n/a",(A20/D20))</f>
        <v>0.56210801848391123</v>
      </c>
      <c r="D20" s="10">
        <f>IFERROR(ROUND(AVERAGE(H3:H17),2),"")</f>
        <v>550.75</v>
      </c>
      <c r="E20" s="15">
        <f>IFERROR(ROUND(IF(B20&lt;2,"n/a",(IF(C20&lt;=25%,"n/a",AVERAGE(I3:I17)))),2),"n/a")</f>
        <v>550.75</v>
      </c>
      <c r="F20" s="10">
        <f>IFERROR(ROUND(MEDIAN(H3:H17),2),"")</f>
        <v>599.99</v>
      </c>
      <c r="G20" s="11" t="str">
        <f>IFERROR(INDEX(G3:G17,MATCH(H20,H3:H17,0)),"")</f>
        <v>NET COMPUTADORES</v>
      </c>
      <c r="H20" s="12">
        <f>F3</f>
        <v>219.5</v>
      </c>
    </row>
    <row r="22" spans="1:9" x14ac:dyDescent="0.25">
      <c r="G22" s="13" t="s">
        <v>20</v>
      </c>
      <c r="H22" s="14">
        <f>IF(C20&lt;=25%,D20,MIN(E20:F20))</f>
        <v>550.75</v>
      </c>
    </row>
    <row r="23" spans="1:9" x14ac:dyDescent="0.25">
      <c r="G23" s="13" t="s">
        <v>6</v>
      </c>
      <c r="H23" s="14">
        <f>ROUND(H22,2)*D3</f>
        <v>68843.75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36</v>
      </c>
      <c r="B3" s="30" t="s">
        <v>42</v>
      </c>
      <c r="C3" s="32" t="s">
        <v>7</v>
      </c>
      <c r="D3" s="32">
        <f>(60+20)*0.25</f>
        <v>20</v>
      </c>
      <c r="E3" s="33">
        <f>IF(C20&lt;=25%,D20,MIN(E20:F20))</f>
        <v>1217.93</v>
      </c>
      <c r="F3" s="33">
        <f>MIN(H3:H17)</f>
        <v>1034.48</v>
      </c>
      <c r="G3" s="5" t="s">
        <v>217</v>
      </c>
      <c r="H3" s="16">
        <v>1034.48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112</v>
      </c>
      <c r="H4" s="16">
        <v>1197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113</v>
      </c>
      <c r="H5" s="16">
        <v>1200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80</v>
      </c>
      <c r="H6" s="16">
        <v>1212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218</v>
      </c>
      <c r="H7" s="16">
        <v>1260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104</v>
      </c>
      <c r="H8" s="16">
        <v>1271.1300000000001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 t="s">
        <v>128</v>
      </c>
      <c r="H9" s="16">
        <v>1401.66</v>
      </c>
      <c r="I9" s="17" t="str">
        <f t="shared" si="0"/>
        <v>n/a</v>
      </c>
    </row>
    <row r="10" spans="1:9" x14ac:dyDescent="0.25">
      <c r="A10" s="34"/>
      <c r="B10" s="31"/>
      <c r="C10" s="32"/>
      <c r="D10" s="32"/>
      <c r="E10" s="33"/>
      <c r="F10" s="33"/>
      <c r="G10" s="5" t="s">
        <v>115</v>
      </c>
      <c r="H10" s="16">
        <v>1945</v>
      </c>
      <c r="I10" s="17" t="str">
        <f t="shared" si="0"/>
        <v>n/a</v>
      </c>
    </row>
    <row r="11" spans="1:9" x14ac:dyDescent="0.25">
      <c r="A11" s="34"/>
      <c r="B11" s="31"/>
      <c r="C11" s="32"/>
      <c r="D11" s="32"/>
      <c r="E11" s="33"/>
      <c r="F11" s="33"/>
      <c r="G11" s="5" t="s">
        <v>111</v>
      </c>
      <c r="H11" s="16">
        <v>1179.8499999999999</v>
      </c>
      <c r="I11" s="17" t="str">
        <f t="shared" si="0"/>
        <v>n/a</v>
      </c>
    </row>
    <row r="12" spans="1:9" x14ac:dyDescent="0.25">
      <c r="A12" s="34"/>
      <c r="B12" s="31"/>
      <c r="C12" s="32"/>
      <c r="D12" s="32"/>
      <c r="E12" s="33"/>
      <c r="F12" s="33"/>
      <c r="G12" s="5" t="s">
        <v>219</v>
      </c>
      <c r="H12" s="16">
        <v>1034.48</v>
      </c>
      <c r="I12" s="17" t="str">
        <f t="shared" si="0"/>
        <v>n/a</v>
      </c>
    </row>
    <row r="13" spans="1:9" x14ac:dyDescent="0.25">
      <c r="A13" s="34"/>
      <c r="B13" s="31"/>
      <c r="C13" s="32"/>
      <c r="D13" s="32"/>
      <c r="E13" s="33"/>
      <c r="F13" s="33"/>
      <c r="G13" s="5" t="s">
        <v>108</v>
      </c>
      <c r="H13" s="16">
        <v>1046.25</v>
      </c>
      <c r="I13" s="17" t="str">
        <f t="shared" si="0"/>
        <v>n/a</v>
      </c>
    </row>
    <row r="14" spans="1:9" x14ac:dyDescent="0.25">
      <c r="A14" s="34"/>
      <c r="B14" s="31"/>
      <c r="C14" s="32"/>
      <c r="D14" s="32"/>
      <c r="E14" s="33"/>
      <c r="F14" s="33"/>
      <c r="G14" s="5" t="s">
        <v>109</v>
      </c>
      <c r="H14" s="16">
        <v>1098</v>
      </c>
      <c r="I14" s="17" t="str">
        <f t="shared" si="0"/>
        <v>n/a</v>
      </c>
    </row>
    <row r="15" spans="1:9" x14ac:dyDescent="0.25">
      <c r="A15" s="34"/>
      <c r="B15" s="31"/>
      <c r="C15" s="32"/>
      <c r="D15" s="32"/>
      <c r="E15" s="33"/>
      <c r="F15" s="33"/>
      <c r="G15" s="5" t="s">
        <v>105</v>
      </c>
      <c r="H15" s="16">
        <v>1106.99</v>
      </c>
      <c r="I15" s="17" t="str">
        <f t="shared" si="0"/>
        <v>n/a</v>
      </c>
    </row>
    <row r="16" spans="1:9" x14ac:dyDescent="0.25">
      <c r="A16" s="34"/>
      <c r="B16" s="31"/>
      <c r="C16" s="32"/>
      <c r="D16" s="32"/>
      <c r="E16" s="33"/>
      <c r="F16" s="33"/>
      <c r="G16" s="5" t="s">
        <v>77</v>
      </c>
      <c r="H16" s="16">
        <v>1140</v>
      </c>
      <c r="I16" s="17" t="str">
        <f t="shared" si="0"/>
        <v>n/a</v>
      </c>
    </row>
    <row r="17" spans="1:9" x14ac:dyDescent="0.25">
      <c r="A17" s="34"/>
      <c r="B17" s="31"/>
      <c r="C17" s="32"/>
      <c r="D17" s="32"/>
      <c r="E17" s="33"/>
      <c r="F17" s="33"/>
      <c r="G17" s="5" t="s">
        <v>110</v>
      </c>
      <c r="H17" s="16">
        <v>1142.1300000000001</v>
      </c>
      <c r="I17" s="17" t="str">
        <f t="shared" si="0"/>
        <v>n/a</v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224.32818187603965</v>
      </c>
      <c r="B20" s="8">
        <f>COUNT(H3:H17)</f>
        <v>15</v>
      </c>
      <c r="C20" s="9">
        <f>IF(B20&lt;2,"n/a",(A20/D20))</f>
        <v>0.18418807474652865</v>
      </c>
      <c r="D20" s="10">
        <f>IFERROR(ROUND(AVERAGE(H3:H17),2),"")</f>
        <v>1217.93</v>
      </c>
      <c r="E20" s="15" t="str">
        <f>IFERROR(ROUND(IF(B20&lt;2,"n/a",(IF(C20&lt;=25%,"n/a",AVERAGE(I3:I17)))),2),"n/a")</f>
        <v>n/a</v>
      </c>
      <c r="F20" s="10">
        <f>IFERROR(ROUND(MEDIAN(H3:H17),2),"")</f>
        <v>1179.8499999999999</v>
      </c>
      <c r="G20" s="11" t="str">
        <f>IFERROR(INDEX(G3:G17,MATCH(H20,H3:H17,0)),"")</f>
        <v>ACLARA COMERCIO DE INFORMATICA LTDA</v>
      </c>
      <c r="H20" s="12">
        <f>F3</f>
        <v>1034.48</v>
      </c>
    </row>
    <row r="22" spans="1:9" x14ac:dyDescent="0.25">
      <c r="G22" s="13" t="s">
        <v>20</v>
      </c>
      <c r="H22" s="14">
        <f>IF(C20&lt;=25%,D20,MIN(E20:F20))</f>
        <v>1217.93</v>
      </c>
    </row>
    <row r="23" spans="1:9" x14ac:dyDescent="0.25">
      <c r="G23" s="13" t="s">
        <v>6</v>
      </c>
      <c r="H23" s="14">
        <f>ROUND(H22,2)*D3</f>
        <v>24358.600000000002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37</v>
      </c>
      <c r="B3" s="30" t="s">
        <v>64</v>
      </c>
      <c r="C3" s="32" t="s">
        <v>7</v>
      </c>
      <c r="D3" s="32">
        <v>70</v>
      </c>
      <c r="E3" s="33">
        <f>IF(C20&lt;=25%,D20,MIN(E20:F20))</f>
        <v>1134.54</v>
      </c>
      <c r="F3" s="33">
        <f>MIN(H3:H17)</f>
        <v>700.99</v>
      </c>
      <c r="G3" s="5" t="s">
        <v>233</v>
      </c>
      <c r="H3" s="16">
        <v>1611.71</v>
      </c>
      <c r="I3" s="17" t="str">
        <f>IF(H3="","",(IF($C$20&lt;25%,"n/a",IF(H3&lt;=($D$20+$A$20),H3,"Descartado"))))</f>
        <v>Descartado</v>
      </c>
    </row>
    <row r="4" spans="1:9" x14ac:dyDescent="0.25">
      <c r="A4" s="34"/>
      <c r="B4" s="31"/>
      <c r="C4" s="32"/>
      <c r="D4" s="32"/>
      <c r="E4" s="33"/>
      <c r="F4" s="33"/>
      <c r="G4" s="5" t="s">
        <v>259</v>
      </c>
      <c r="H4" s="16">
        <v>700.99</v>
      </c>
      <c r="I4" s="17">
        <f t="shared" ref="I4:I17" si="0">IF(H4="","",(IF($C$20&lt;25%,"n/a",IF(H4&lt;=($D$20+$A$20),H4,"Descartado"))))</f>
        <v>700.99</v>
      </c>
    </row>
    <row r="5" spans="1:9" x14ac:dyDescent="0.25">
      <c r="A5" s="34"/>
      <c r="B5" s="31"/>
      <c r="C5" s="32"/>
      <c r="D5" s="32"/>
      <c r="E5" s="33"/>
      <c r="F5" s="33"/>
      <c r="G5" s="5" t="s">
        <v>260</v>
      </c>
      <c r="H5" s="16">
        <v>1406.25</v>
      </c>
      <c r="I5" s="17">
        <f t="shared" si="0"/>
        <v>1406.25</v>
      </c>
    </row>
    <row r="6" spans="1:9" x14ac:dyDescent="0.25">
      <c r="A6" s="34"/>
      <c r="B6" s="31"/>
      <c r="C6" s="32"/>
      <c r="D6" s="32"/>
      <c r="E6" s="33"/>
      <c r="F6" s="33"/>
      <c r="G6" s="5" t="s">
        <v>261</v>
      </c>
      <c r="H6" s="16">
        <v>1342.82</v>
      </c>
      <c r="I6" s="17">
        <f t="shared" si="0"/>
        <v>1342.82</v>
      </c>
    </row>
    <row r="7" spans="1:9" x14ac:dyDescent="0.25">
      <c r="A7" s="34"/>
      <c r="B7" s="31"/>
      <c r="C7" s="32"/>
      <c r="D7" s="32"/>
      <c r="E7" s="33"/>
      <c r="F7" s="33"/>
      <c r="G7" s="5" t="s">
        <v>235</v>
      </c>
      <c r="H7" s="16">
        <v>1088.0999999999999</v>
      </c>
      <c r="I7" s="17">
        <f t="shared" si="0"/>
        <v>1088.0999999999999</v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349.81499600503184</v>
      </c>
      <c r="B20" s="8">
        <f>COUNT(H3:H17)</f>
        <v>5</v>
      </c>
      <c r="C20" s="9">
        <f>IF(B20&lt;2,"n/a",(A20/D20))</f>
        <v>0.28440937259041427</v>
      </c>
      <c r="D20" s="10">
        <f>IFERROR(ROUND(AVERAGE(H3:H17),2),"")</f>
        <v>1229.97</v>
      </c>
      <c r="E20" s="15">
        <f>IFERROR(ROUND(IF(B20&lt;2,"n/a",(IF(C20&lt;=25%,"n/a",AVERAGE(I3:I17)))),2),"n/a")</f>
        <v>1134.54</v>
      </c>
      <c r="F20" s="10">
        <f>IFERROR(ROUND(MEDIAN(H3:H17),2),"")</f>
        <v>1342.82</v>
      </c>
      <c r="G20" s="11" t="str">
        <f>IFERROR(INDEX(G3:G17,MATCH(H20,H3:H17,0)),"")</f>
        <v>TECH INN</v>
      </c>
      <c r="H20" s="12">
        <f>F3</f>
        <v>700.99</v>
      </c>
    </row>
    <row r="22" spans="1:9" x14ac:dyDescent="0.25">
      <c r="G22" s="13" t="s">
        <v>20</v>
      </c>
      <c r="H22" s="14">
        <f>IF(C20&lt;=25%,D20,MIN(E20:F20))</f>
        <v>1134.54</v>
      </c>
    </row>
    <row r="23" spans="1:9" x14ac:dyDescent="0.25">
      <c r="G23" s="13" t="s">
        <v>6</v>
      </c>
      <c r="H23" s="14">
        <f>ROUND(H22,2)*D3</f>
        <v>79417.8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40</v>
      </c>
      <c r="B3" s="30"/>
      <c r="C3" s="32" t="s">
        <v>7</v>
      </c>
      <c r="D3" s="32"/>
      <c r="E3" s="33">
        <f>IF(C20&lt;=25%,D20,MIN(E20:F20))</f>
        <v>0</v>
      </c>
      <c r="F3" s="33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4"/>
      <c r="B4" s="31"/>
      <c r="C4" s="32"/>
      <c r="D4" s="32"/>
      <c r="E4" s="33"/>
      <c r="F4" s="33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4"/>
      <c r="B5" s="31"/>
      <c r="C5" s="32"/>
      <c r="D5" s="32"/>
      <c r="E5" s="33"/>
      <c r="F5" s="33"/>
      <c r="G5" s="5"/>
      <c r="H5" s="16"/>
      <c r="I5" s="17" t="str">
        <f t="shared" si="0"/>
        <v/>
      </c>
    </row>
    <row r="6" spans="1:9" x14ac:dyDescent="0.25">
      <c r="A6" s="34"/>
      <c r="B6" s="31"/>
      <c r="C6" s="32"/>
      <c r="D6" s="32"/>
      <c r="E6" s="33"/>
      <c r="F6" s="33"/>
      <c r="G6" s="5"/>
      <c r="H6" s="16"/>
      <c r="I6" s="17" t="str">
        <f t="shared" si="0"/>
        <v/>
      </c>
    </row>
    <row r="7" spans="1:9" x14ac:dyDescent="0.25">
      <c r="A7" s="34"/>
      <c r="B7" s="31"/>
      <c r="C7" s="32"/>
      <c r="D7" s="32"/>
      <c r="E7" s="33"/>
      <c r="F7" s="33"/>
      <c r="G7" s="5"/>
      <c r="H7" s="16"/>
      <c r="I7" s="17" t="str">
        <f t="shared" si="0"/>
        <v/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24" t="s">
        <v>1</v>
      </c>
      <c r="B2" s="24" t="s">
        <v>2</v>
      </c>
      <c r="C2" s="24" t="s">
        <v>3</v>
      </c>
      <c r="D2" s="24" t="s">
        <v>4</v>
      </c>
      <c r="E2" s="24" t="s">
        <v>9</v>
      </c>
      <c r="F2" s="24" t="s">
        <v>10</v>
      </c>
      <c r="G2" s="24" t="s">
        <v>11</v>
      </c>
      <c r="H2" s="24" t="s">
        <v>12</v>
      </c>
      <c r="I2" s="24" t="s">
        <v>13</v>
      </c>
    </row>
    <row r="3" spans="1:9" x14ac:dyDescent="0.25">
      <c r="A3" s="34">
        <v>41</v>
      </c>
      <c r="B3" s="30"/>
      <c r="C3" s="32" t="s">
        <v>7</v>
      </c>
      <c r="D3" s="32"/>
      <c r="E3" s="33">
        <f>IF(C20&lt;=25%,D20,MIN(E20:F20))</f>
        <v>0</v>
      </c>
      <c r="F3" s="33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4"/>
      <c r="B4" s="31"/>
      <c r="C4" s="32"/>
      <c r="D4" s="32"/>
      <c r="E4" s="33"/>
      <c r="F4" s="33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4"/>
      <c r="B5" s="31"/>
      <c r="C5" s="32"/>
      <c r="D5" s="32"/>
      <c r="E5" s="33"/>
      <c r="F5" s="33"/>
      <c r="G5" s="5"/>
      <c r="H5" s="16"/>
      <c r="I5" s="17" t="str">
        <f t="shared" si="0"/>
        <v/>
      </c>
    </row>
    <row r="6" spans="1:9" x14ac:dyDescent="0.25">
      <c r="A6" s="34"/>
      <c r="B6" s="31"/>
      <c r="C6" s="32"/>
      <c r="D6" s="32"/>
      <c r="E6" s="33"/>
      <c r="F6" s="33"/>
      <c r="G6" s="5"/>
      <c r="H6" s="16"/>
      <c r="I6" s="17" t="str">
        <f t="shared" si="0"/>
        <v/>
      </c>
    </row>
    <row r="7" spans="1:9" x14ac:dyDescent="0.25">
      <c r="A7" s="34"/>
      <c r="B7" s="31"/>
      <c r="C7" s="32"/>
      <c r="D7" s="32"/>
      <c r="E7" s="33"/>
      <c r="F7" s="33"/>
      <c r="G7" s="5"/>
      <c r="H7" s="16"/>
      <c r="I7" s="17" t="str">
        <f t="shared" si="0"/>
        <v/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24" t="s">
        <v>14</v>
      </c>
      <c r="B19" s="24" t="s">
        <v>15</v>
      </c>
      <c r="C19" s="24" t="s">
        <v>25</v>
      </c>
      <c r="D19" s="24" t="s">
        <v>16</v>
      </c>
      <c r="E19" s="24" t="s">
        <v>17</v>
      </c>
      <c r="F19" s="24" t="s">
        <v>18</v>
      </c>
      <c r="G19" s="28" t="s">
        <v>19</v>
      </c>
      <c r="H19" s="28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4</v>
      </c>
      <c r="B3" s="30" t="s">
        <v>33</v>
      </c>
      <c r="C3" s="32" t="s">
        <v>7</v>
      </c>
      <c r="D3" s="32">
        <v>10</v>
      </c>
      <c r="E3" s="33">
        <f>IF(C20&lt;=25%,D20,MIN(E20:F20))</f>
        <v>878.35</v>
      </c>
      <c r="F3" s="33">
        <f>MIN(H3:H17)</f>
        <v>738</v>
      </c>
      <c r="G3" s="5" t="s">
        <v>70</v>
      </c>
      <c r="H3" s="16">
        <v>738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71</v>
      </c>
      <c r="H4" s="16">
        <v>777.77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72</v>
      </c>
      <c r="H5" s="16">
        <v>819.98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73</v>
      </c>
      <c r="H6" s="16">
        <v>900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74</v>
      </c>
      <c r="H7" s="16">
        <v>1156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166.41796838082141</v>
      </c>
      <c r="B20" s="8">
        <f>COUNT(H3:H17)</f>
        <v>5</v>
      </c>
      <c r="C20" s="9">
        <f>IF(B20&lt;2,"n/a",(A20/D20))</f>
        <v>0.1894665775383633</v>
      </c>
      <c r="D20" s="10">
        <f>IFERROR(ROUND(AVERAGE(H3:H17),2),"")</f>
        <v>878.35</v>
      </c>
      <c r="E20" s="15" t="str">
        <f>IFERROR(ROUND(IF(B20&lt;2,"n/a",(IF(C20&lt;=25%,"n/a",AVERAGE(I3:I17)))),2),"n/a")</f>
        <v>n/a</v>
      </c>
      <c r="F20" s="10">
        <f>IFERROR(ROUND(MEDIAN(H3:H17),2),"")</f>
        <v>819.98</v>
      </c>
      <c r="G20" s="11" t="str">
        <f>IFERROR(INDEX(G3:G17,MATCH(H20,H3:H17,0)),"")</f>
        <v>ONE COMERCIAL LTDA</v>
      </c>
      <c r="H20" s="12">
        <f>F3</f>
        <v>738</v>
      </c>
    </row>
    <row r="22" spans="1:9" x14ac:dyDescent="0.25">
      <c r="G22" s="13" t="s">
        <v>20</v>
      </c>
      <c r="H22" s="14">
        <f>IF(C20&lt;=25%,D20,MIN(E20:F20))</f>
        <v>878.35</v>
      </c>
    </row>
    <row r="23" spans="1:9" x14ac:dyDescent="0.25">
      <c r="G23" s="13" t="s">
        <v>6</v>
      </c>
      <c r="H23" s="14">
        <f>ROUND(H22,2)*D3</f>
        <v>8783.5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topLeftCell="A39" zoomScale="82" zoomScaleNormal="100" zoomScaleSheetLayoutView="82" workbookViewId="0">
      <selection activeCell="D44" sqref="D44:G44"/>
    </sheetView>
  </sheetViews>
  <sheetFormatPr defaultRowHeight="15" x14ac:dyDescent="0.25"/>
  <cols>
    <col min="1" max="2" width="6.7109375" style="1" customWidth="1"/>
    <col min="3" max="3" width="36.7109375" style="4" customWidth="1"/>
    <col min="4" max="6" width="12.7109375" style="1" customWidth="1"/>
    <col min="7" max="7" width="9.28515625" style="1" bestFit="1" customWidth="1"/>
    <col min="8" max="9" width="15.7109375" style="1" customWidth="1"/>
    <col min="10" max="16384" width="9.140625" style="1"/>
  </cols>
  <sheetData>
    <row r="1" spans="1:9" ht="15.75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ht="36" x14ac:dyDescent="0.25">
      <c r="A2" s="6" t="s">
        <v>29</v>
      </c>
      <c r="B2" s="6" t="s">
        <v>1</v>
      </c>
      <c r="C2" s="6" t="s">
        <v>2</v>
      </c>
      <c r="D2" s="6" t="s">
        <v>3</v>
      </c>
      <c r="E2" s="25" t="s">
        <v>35</v>
      </c>
      <c r="F2" s="25" t="s">
        <v>36</v>
      </c>
      <c r="G2" s="6" t="s">
        <v>34</v>
      </c>
      <c r="H2" s="6" t="s">
        <v>5</v>
      </c>
      <c r="I2" s="6" t="s">
        <v>30</v>
      </c>
    </row>
    <row r="3" spans="1:9" ht="409.5" x14ac:dyDescent="0.25">
      <c r="A3" s="21" t="s">
        <v>32</v>
      </c>
      <c r="B3" s="21">
        <f>Item1!A3</f>
        <v>1</v>
      </c>
      <c r="C3" s="23" t="str">
        <f>Item1!B3</f>
        <v>TELEVISOR LED, com as seguintes características:
Diagonal entre 30 a 32 polegadas;
Conversor digital integrado;
Cor preta;
 Fonte bivolt 110-220 V;
 Conexões:
 Mínimo de 1 (uma) entrada HDMI;
 Mínimo de 1 (uma) entrada USB 2.0 ou superior com capacidade de reprodução de áudio, vídeo e musicas
em alta resolução direto de dispositivo USB (Pen Drive);
 Mínimo de 1(uma) entrada de áudio/vídeo;
 Mínimo de uma entrada RF para TV aberta.
Controle remoto munido das pilhas necessárias para o primeiro uso;
Acompanhado de base para uso em mesa;
Manual em português;
Etiqueta Nacional de Eficiência Energética (ENCE): A
Garantia de, no mínimo, 12 (doze) meses.
“Obs. Cota principal – item relacionado ao item 34 (cota reservada) para fins do disposto no §3º do art. 8º do
Decreto nº 8.538/2015”.</v>
      </c>
      <c r="D3" s="21" t="str">
        <f>Item1!C3</f>
        <v>unidade</v>
      </c>
      <c r="E3" s="21">
        <f>G3-F3</f>
        <v>85</v>
      </c>
      <c r="F3" s="27">
        <v>20</v>
      </c>
      <c r="G3" s="21">
        <f>Item1!D3</f>
        <v>105</v>
      </c>
      <c r="H3" s="22">
        <f>Item1!E3</f>
        <v>1024.54</v>
      </c>
      <c r="I3" s="22">
        <f>ROUND((G3*H3),2)</f>
        <v>107576.7</v>
      </c>
    </row>
    <row r="4" spans="1:9" ht="409.5" x14ac:dyDescent="0.25">
      <c r="A4" s="21" t="s">
        <v>32</v>
      </c>
      <c r="B4" s="21">
        <f>Item2!A3</f>
        <v>2</v>
      </c>
      <c r="C4" s="23" t="str">
        <f>Item2!B3</f>
        <v xml:space="preserve">SMART TV LED, com as seguintes características:
 Diagonal entre 55 a 60 polegadas;
 Cor preta;
 Resolução de imagem mínima Full HD;
 Conversor digital integrado;
 Fonte bivolt 110-220 V;
 Conexões:
 Mínimo de 2 (duas) entradas HDMI;
 Mínimo de 1 (uma) entrada USB 2.0 ou superior com capacidade de reprodução de áudio, vídeo e musicas em
alta resolução direto de dispositivo USB (Pen Drive);
 Mínimo de 1 (uma) entrada de áudio/vídeo;
 Mínimo de uma entrada RF para TV aberta;
 Mínimo de uma entrada Ethernet (LAN);
 Wi-fi integrado;
 Controle remoto munido das pilhas necessárias;
 Alimentação bivolt: 110 – 220 V/60hz;
 Acompanhado de base para uso em mesa;
 Etiqueta Nacional de Eficiência Energética (ENCE):A
 Menu em Português;
 Garantia de, no mínimo, 12 (doze) meses.
</v>
      </c>
      <c r="D4" s="21" t="str">
        <f>Item2!C3</f>
        <v>unidade</v>
      </c>
      <c r="E4" s="21">
        <f t="shared" ref="E4:E39" si="0">G4-F4</f>
        <v>8</v>
      </c>
      <c r="F4" s="27">
        <v>20</v>
      </c>
      <c r="G4" s="21">
        <f>Item2!D3</f>
        <v>28</v>
      </c>
      <c r="H4" s="22">
        <f>Item2!E3</f>
        <v>2502.37</v>
      </c>
      <c r="I4" s="22">
        <f t="shared" ref="I4:I28" si="1">ROUND((G4*H4),2)</f>
        <v>70066.36</v>
      </c>
    </row>
    <row r="5" spans="1:9" ht="409.5" x14ac:dyDescent="0.25">
      <c r="A5" s="21" t="s">
        <v>32</v>
      </c>
      <c r="B5" s="21">
        <f>Item3!A3</f>
        <v>3</v>
      </c>
      <c r="C5" s="23" t="str">
        <f>Item3!B3</f>
        <v>APARELHO TELEFÔNICO IP Fixo – tipo 1, com as seguintes características:
• Terminal de comunicação IP composto por telefone, monofone, e acessórios para seu pleno funcionamento.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fixo.
• Possuir duas portas switch fast ethernet integradas internas, permitindo a conexão de um computador diretamente ao telefone IP fixo, nas velocidades de 10/100 Mbps, autosensing. Não será aceito o uso de adaptadores internos ou externos para as portas fast ethernet.
• Suportar PoE (Power over Ethernet) conforme a classificação do padrão IEEE 802.3af (calss1), suportando alimentação direta via interface ethernet.
• A porta do telefone IP deverá suportar mecanismo de qualidade de serviço e tronco de VLAN padrão 802.1q e 802.1p. Desta forma, o tráfego de dados e de voz utilizarão VLANs distintas.
• Certificado/homologado pela ANATEL.
• Possuir no mínimo os codecs G.711 e G.729.
• Permitir busca de configuração em servidores comuns por meio de protocolos padrão.
• Suportar o protocolo Session Initiation Protocol (SIP), não serão aceitos equipamentos híbridos com telefonia analógica ou que necessitem de adaptadores externos para o funcionamento.
• Possuir recurso de viva-voz bidirecional com cancelamento de eco.
• Permitir o ajuste de toque de chamada.
• Deve possuir ajuste de volume para fone, campainha e fone de ouvido.
• Deve possuir display de cristal líquido (LCD) monocromático, com iluminação de fundo, com resolução mínima de 128 x 32 pixels. Este display deve prover informações de data e hora, correio e voz, ícone de chamadas perdidas, detalhes da chamada durante uma ligação, histórico de chamadas efetuadas e recebidas e configurações do aparelho.
• Suportar o idioma Português (Brasil).
• Possuir recurso de geração de supressão de silêncio.
• A compressão dos canais de voz deve ser realizada no próprio aparelho.
• Permitir que se efetue transferência de chamadas internas e externas. O usuário poderá optar pela transferência de uma chamada recebida para um número interno ou externo.
• Possuir recurso que indique a existência de “chamada em espera”, informando ao usuário que há uma chamada entrante durante uma conversação.
• Permitir a rediscagem do último número discado.
• Possuir a tecla mute.
• Possuir recurso de discagem rápida para números pré-configurados pelo usuário.
• Suportar desvio automático de chamada para voicemail ou outro destino pré-configurado.
• Suportar conferência e captura de chamadas.
• Possuir fonte de energia compatível e do mesmo fabricante do telefone IP. A fonte deve operar na faixa de 110 Vac a 240 Vac, com chaveamento automático (conversão automática), frequência de 50-60 Hz e tomada padrão brasileiro.
• Garantia mínima de 12 (doze) meses.
• Referência: CISCO SIP PHONE 3905</v>
      </c>
      <c r="D5" s="21" t="str">
        <f>Item3!C3</f>
        <v>unidade</v>
      </c>
      <c r="E5" s="21">
        <f t="shared" si="0"/>
        <v>375</v>
      </c>
      <c r="F5" s="27">
        <v>0</v>
      </c>
      <c r="G5" s="21">
        <f>Item3!D3</f>
        <v>375</v>
      </c>
      <c r="H5" s="22">
        <f>Item3!E3</f>
        <v>550.75</v>
      </c>
      <c r="I5" s="22">
        <f t="shared" si="1"/>
        <v>206531.25</v>
      </c>
    </row>
    <row r="6" spans="1:9" ht="409.5" x14ac:dyDescent="0.25">
      <c r="A6" s="21" t="s">
        <v>32</v>
      </c>
      <c r="B6" s="21">
        <f>Item4!A3</f>
        <v>4</v>
      </c>
      <c r="C6" s="23" t="str">
        <f>Item4!B3</f>
        <v>SUPORTE PARA TV LED TIPO PEDESTAL DE PISO, com as seguintes características:
• Com regulagem de altura da TV;
• Compatível com TVs de 32 a 65 polegadas;
• Cor predominante preta ou grafite;
• Passagem interna para fiação;
• Com no mínimo uma bandeja de apoio para DVD e Notebook;
• Dimensões da bandeja (500mm x 290mm) (LxP). Admite-se variação de 100 mm na largura e de 100 mm na profundidade;
• Compatível com os seguintes padrões de furação VESA 200x100, 200x200, 200x300, 300x200, 300x300, 400x200, 400x300, 400x400, 600x200 ou 600x400mm (HxV);
• Parafusos para fixação da TV;
• Fabricado em aço carbono com acabamento em pintura eletrostática;
• Rodízio (rodas) para locomoção com trava;
• Mínimo de uma prateleira;
• Carga mínima suportada da TV: 45 kg ou superior;
• Carga mínima sobre a bandeja: 5 kg ou superior;
• Manual de instrução de português.
• Garantia de, no mínimo, 90 dias.</v>
      </c>
      <c r="D6" s="21" t="str">
        <f>Item4!C3</f>
        <v>unidade</v>
      </c>
      <c r="E6" s="21">
        <f t="shared" si="0"/>
        <v>10</v>
      </c>
      <c r="F6" s="27">
        <v>0</v>
      </c>
      <c r="G6" s="21">
        <f>Item4!D3</f>
        <v>10</v>
      </c>
      <c r="H6" s="22">
        <f>Item4!E3</f>
        <v>878.35</v>
      </c>
      <c r="I6" s="22">
        <f t="shared" si="1"/>
        <v>8783.5</v>
      </c>
    </row>
    <row r="7" spans="1:9" ht="150" x14ac:dyDescent="0.25">
      <c r="A7" s="21" t="s">
        <v>32</v>
      </c>
      <c r="B7" s="21">
        <f>Item5!A3</f>
        <v>5</v>
      </c>
      <c r="C7" s="23" t="str">
        <f>Item5!B3</f>
        <v>CAFETEIRA, com as seguintes especificações:
• Jarra em aço inox;
• Filtro permanente removível;
• Capacidade mínima de 1 litro;
• Indicador do nível de água;
• Alimentação elétrica: 127V ou bivolt;
• Garantia de, no mínimo, 12 (doze) meses.</v>
      </c>
      <c r="D7" s="21" t="str">
        <f>Item5!C3</f>
        <v>unidade</v>
      </c>
      <c r="E7" s="21">
        <f t="shared" si="0"/>
        <v>50</v>
      </c>
      <c r="F7" s="27">
        <v>0</v>
      </c>
      <c r="G7" s="21">
        <f>Item5!D3</f>
        <v>50</v>
      </c>
      <c r="H7" s="22">
        <f>Item5!E3</f>
        <v>180.01</v>
      </c>
      <c r="I7" s="22">
        <f t="shared" si="1"/>
        <v>9000.5</v>
      </c>
    </row>
    <row r="8" spans="1:9" ht="150" x14ac:dyDescent="0.25">
      <c r="A8" s="21" t="s">
        <v>32</v>
      </c>
      <c r="B8" s="21">
        <f>Item6!A3</f>
        <v>6</v>
      </c>
      <c r="C8" s="23" t="str">
        <f>Item6!B3</f>
        <v>CAFETEIRA, com as seguintes especificações:
• Jarra em aço inox;
• Filtro permanente removível;
• Capacidade mínima de 1 litro;
• Indicador do nível de água;
• Alimentação elétrica: 220V ou bivolt;
• Garantia de, no mínimo, 12 (doze) meses.</v>
      </c>
      <c r="D8" s="21" t="str">
        <f>Item6!C3</f>
        <v>unidade</v>
      </c>
      <c r="E8" s="21">
        <f t="shared" si="0"/>
        <v>50</v>
      </c>
      <c r="F8" s="27">
        <v>0</v>
      </c>
      <c r="G8" s="21">
        <f>Item6!D3</f>
        <v>50</v>
      </c>
      <c r="H8" s="22">
        <f>Item6!E3</f>
        <v>117.87</v>
      </c>
      <c r="I8" s="22">
        <f t="shared" si="1"/>
        <v>5893.5</v>
      </c>
    </row>
    <row r="9" spans="1:9" ht="195" x14ac:dyDescent="0.25">
      <c r="A9" s="21" t="s">
        <v>32</v>
      </c>
      <c r="B9" s="21">
        <f>Item7!A3</f>
        <v>7</v>
      </c>
      <c r="C9" s="23" t="str">
        <f>Item7!B3</f>
        <v>FORNO DE MICRO-ONDAS, com as seguintes especificações:
• Capacidade (câmara do alimento) entre 30 e 35 litros;
• Voltagem: 127V;
• Prato giratório removível;
• Display e menu com funções em português;
• Trava de segurança.
• Selo Procel A.
• Garantia de, no mínimo, 12 (doze) meses.</v>
      </c>
      <c r="D9" s="21" t="str">
        <f>Item7!C3</f>
        <v>unidade</v>
      </c>
      <c r="E9" s="21">
        <f t="shared" si="0"/>
        <v>60</v>
      </c>
      <c r="F9" s="27">
        <v>20</v>
      </c>
      <c r="G9" s="21">
        <f>Item7!D3</f>
        <v>80</v>
      </c>
      <c r="H9" s="22">
        <f>Item7!E3</f>
        <v>615.54999999999995</v>
      </c>
      <c r="I9" s="22">
        <f t="shared" si="1"/>
        <v>49244</v>
      </c>
    </row>
    <row r="10" spans="1:9" ht="195" x14ac:dyDescent="0.25">
      <c r="A10" s="21" t="s">
        <v>32</v>
      </c>
      <c r="B10" s="21">
        <f>Item8!A3</f>
        <v>8</v>
      </c>
      <c r="C10" s="23" t="str">
        <f>Item8!B3</f>
        <v>FORNO DE MICRO-ONDAS, com as seguintes especificações:
• Capacidade (câmara do alimento) entre 30 e 35 litros;
• Voltagem: 220V;
• Prato giratório removível;
• Display e menu com funções em português;
• Trava de segurança.
• Selo Procel A.
• Garantia de, no mínimo, 12 (doze) meses.</v>
      </c>
      <c r="D10" s="21" t="str">
        <f>Item8!C3</f>
        <v>unidade</v>
      </c>
      <c r="E10" s="21">
        <f t="shared" si="0"/>
        <v>30</v>
      </c>
      <c r="F10" s="27">
        <v>0</v>
      </c>
      <c r="G10" s="21">
        <f>Item8!D3</f>
        <v>30</v>
      </c>
      <c r="H10" s="22">
        <f>Item8!E3</f>
        <v>695.48</v>
      </c>
      <c r="I10" s="22">
        <f t="shared" si="1"/>
        <v>20864.400000000001</v>
      </c>
    </row>
    <row r="11" spans="1:9" ht="225" x14ac:dyDescent="0.25">
      <c r="A11" s="21" t="s">
        <v>32</v>
      </c>
      <c r="B11" s="21">
        <f>Item9!A3</f>
        <v>9</v>
      </c>
      <c r="C11" s="23" t="str">
        <f>Item9!B3</f>
        <v>REFRIGERADOR, com as seguintes especificações:
• Tipo frigobar;
• Volume interno total: 75 a 95 litros;
• Selo Procel Classe A;
• Tensão elétrica: 127V;
• Degelo automático ou bandeja de degelo;
• Prateleiras removíveis;
• Portas reversíveis;
• Controle de temperatura;
• Cor branca.
• Garantia de, no mínimo, 12 (doze) meses.</v>
      </c>
      <c r="D11" s="21" t="str">
        <f>Item9!C3</f>
        <v>unidade</v>
      </c>
      <c r="E11" s="21">
        <f t="shared" si="0"/>
        <v>40</v>
      </c>
      <c r="F11" s="27">
        <v>20</v>
      </c>
      <c r="G11" s="21">
        <f>Item9!D3</f>
        <v>60</v>
      </c>
      <c r="H11" s="22">
        <f>Item9!E3</f>
        <v>1217.93</v>
      </c>
      <c r="I11" s="22">
        <f t="shared" si="1"/>
        <v>73075.8</v>
      </c>
    </row>
    <row r="12" spans="1:9" ht="225" x14ac:dyDescent="0.25">
      <c r="A12" s="21" t="s">
        <v>32</v>
      </c>
      <c r="B12" s="21">
        <f>Item10!A3</f>
        <v>10</v>
      </c>
      <c r="C12" s="23" t="str">
        <f>Item10!B3</f>
        <v>REFRIGERADOR, com as seguintes especificações:
• Tipo frigobar;
• Volume interno total: 75 a 95 litros;
• Selo Procel Classe A;
• Tensão elétrica: 220V;
• Degelo automático ou bandeja de degelo;
• Prateleiras removíveis;
• Portas reversíveis;
• Controle de temperatura;
• Cor branca.
• Garantia de, no mínimo, 12 (doze) meses.</v>
      </c>
      <c r="D12" s="21" t="str">
        <f>Item10!C3</f>
        <v>unidade</v>
      </c>
      <c r="E12" s="21">
        <f t="shared" si="0"/>
        <v>40</v>
      </c>
      <c r="F12" s="27">
        <v>0</v>
      </c>
      <c r="G12" s="21">
        <f>Item10!D3</f>
        <v>40</v>
      </c>
      <c r="H12" s="22">
        <f>Item10!E3</f>
        <v>1146.03</v>
      </c>
      <c r="I12" s="22">
        <f t="shared" si="1"/>
        <v>45841.2</v>
      </c>
    </row>
    <row r="13" spans="1:9" ht="345" x14ac:dyDescent="0.25">
      <c r="A13" s="21" t="s">
        <v>32</v>
      </c>
      <c r="B13" s="21">
        <f>Item11!A3</f>
        <v>11</v>
      </c>
      <c r="C13" s="23" t="str">
        <f>Item11!B3</f>
        <v>BEBEDOURO DE COLUNA, com as seguintes especificações:
• Tipo garrafão;
• Selo de conformidade Inmetro;
• Acomodação para garrafão de 10 e 20 litros;
• Capacidade de fornecimento de água gelada: 0,90 l/h ou superior;
• Tensão elétrica: 127V ou bivolt;
• Gabinete com laterais confeccionadas em aço carbono galvanizado, chapa eletrozincada ou inox;
• Pingadeira com tampo removível;
• Acionamento para água gelada e natural;
• Gás refrigerante ecológico;
• Cor branca ou inox;
• Em conformidade com a norma ABNT NBR 16236:2013 (Versão corrigida) ou mais recente.
• Garantia de, no mínimo, 12 (doze) meses.</v>
      </c>
      <c r="D13" s="21" t="str">
        <f>Item11!C3</f>
        <v>unidade</v>
      </c>
      <c r="E13" s="21">
        <f t="shared" si="0"/>
        <v>50</v>
      </c>
      <c r="F13" s="27">
        <v>0</v>
      </c>
      <c r="G13" s="21">
        <f>Item11!D3</f>
        <v>50</v>
      </c>
      <c r="H13" s="22">
        <f>Item11!E3</f>
        <v>699.23</v>
      </c>
      <c r="I13" s="22">
        <f t="shared" si="1"/>
        <v>34961.5</v>
      </c>
    </row>
    <row r="14" spans="1:9" ht="345" x14ac:dyDescent="0.25">
      <c r="A14" s="21" t="s">
        <v>32</v>
      </c>
      <c r="B14" s="21">
        <f>Item12!A3</f>
        <v>12</v>
      </c>
      <c r="C14" s="23" t="str">
        <f>Item12!B3</f>
        <v>BEBEDOURO DE COLUNA, com as seguintes especificações:
• Tipo garrafão;
• Selo de conformidade Inmetro;
• Acomodação para garrafão de 10 e 20 litros;
• Capacidade de fornecimento de água gelada: 0,90 l/h ou superior;
• Tensão elétrica: 220V ou bivolt;
• Gabinete com laterais confeccionadas em aço carbono galvanizado, chapa eletrozincada ou inox;
• Pingadeira com tampo removível;
• Acionamento para água gelada e natural;
• Gás refrigerante ecológico;
• Cor branca ou inox;
• Em conformidade com a norma ABNT NBR 16236:2013 (Versão corrigida) ou mais recente.
• Garantia de, no mínimo, 12 (doze) meses.</v>
      </c>
      <c r="D14" s="21" t="str">
        <f>Item12!C3</f>
        <v>unidade</v>
      </c>
      <c r="E14" s="21">
        <f t="shared" si="0"/>
        <v>20</v>
      </c>
      <c r="F14" s="27">
        <v>50</v>
      </c>
      <c r="G14" s="21">
        <f>Item12!D3</f>
        <v>70</v>
      </c>
      <c r="H14" s="22">
        <f>Item12!E3</f>
        <v>908.39</v>
      </c>
      <c r="I14" s="22">
        <f t="shared" si="1"/>
        <v>63587.3</v>
      </c>
    </row>
    <row r="15" spans="1:9" ht="330" x14ac:dyDescent="0.25">
      <c r="A15" s="21" t="s">
        <v>32</v>
      </c>
      <c r="B15" s="21">
        <f>Item13!A3</f>
        <v>13</v>
      </c>
      <c r="C15" s="23" t="str">
        <f>Item13!B3</f>
        <v>BEBEDOURO DE COLUNA TIPO PRESSÃO, com as seguintes especificações:
• Certificado pelo Inmetro;
• Tensão Elétrica 127V;
• Gabinete com laterais confeccionada em aço;
• Com 2 (duas)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ecológico;
• Em conformidade com a norma ABNT NBR 16236:2013 (Versão corrigida) ou mais recente.
• Garantia de, no mínimo, 12 (doze) meses.</v>
      </c>
      <c r="D15" s="21" t="str">
        <f>Item13!C3</f>
        <v>unidade</v>
      </c>
      <c r="E15" s="21">
        <f t="shared" si="0"/>
        <v>20</v>
      </c>
      <c r="F15" s="27">
        <v>0</v>
      </c>
      <c r="G15" s="21">
        <f>Item13!D3</f>
        <v>20</v>
      </c>
      <c r="H15" s="22">
        <f>Item13!E3</f>
        <v>815.62</v>
      </c>
      <c r="I15" s="22">
        <f t="shared" si="1"/>
        <v>16312.4</v>
      </c>
    </row>
    <row r="16" spans="1:9" ht="330" x14ac:dyDescent="0.25">
      <c r="A16" s="21" t="s">
        <v>32</v>
      </c>
      <c r="B16" s="21">
        <f>Item14!A3</f>
        <v>14</v>
      </c>
      <c r="C16" s="23" t="str">
        <f>Item14!B3</f>
        <v>BEBEDOURO DE COLUNA TIPO PRESSÃO, com as seguintes especificações:
• Certificado pelo Inmetro;
• Tensão Elétrica 220V;
• Gabinete com laterais confeccionada em aço;
• Com 2 (duas)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ecológico;
• Em conformidade com a norma ABNT NBR 16236:2013 (Versão corrigida) ou mais recente. 
• Garantia de, no mínimo, 12 (doze) meses.</v>
      </c>
      <c r="D16" s="21" t="str">
        <f>Item14!C3</f>
        <v>unidade</v>
      </c>
      <c r="E16" s="21">
        <f t="shared" si="0"/>
        <v>20</v>
      </c>
      <c r="F16" s="27">
        <v>0</v>
      </c>
      <c r="G16" s="21">
        <f>Item14!D3</f>
        <v>20</v>
      </c>
      <c r="H16" s="22">
        <f>Item14!E3</f>
        <v>1141.0899999999999</v>
      </c>
      <c r="I16" s="22">
        <f t="shared" si="1"/>
        <v>22821.8</v>
      </c>
    </row>
    <row r="17" spans="1:9" ht="225" x14ac:dyDescent="0.25">
      <c r="A17" s="21" t="s">
        <v>32</v>
      </c>
      <c r="B17" s="21">
        <f>Item15!A3</f>
        <v>15</v>
      </c>
      <c r="C17" s="23" t="str">
        <f>Item15!B3</f>
        <v xml:space="preserve">VENTILADOR DE COLUNA, com as seguintes especificações:
 Grade de metal;
 Diâmetro da grade: 65 cm, admitida variação de ± 5 cm;
 Tensão: bivolt;
 Coluna regulável, com altura mínima de 1,5m na posição distendida;
 Mecanismo oscilante e controle de velocidade.
 Etiqueta Nacional de Eficiência Energética (ENCE): A
 Garantia de, no mínimo, 12 (doze) meses.
</v>
      </c>
      <c r="D17" s="21" t="str">
        <f>Item15!C3</f>
        <v>unidade</v>
      </c>
      <c r="E17" s="21">
        <f t="shared" si="0"/>
        <v>100</v>
      </c>
      <c r="F17" s="27">
        <v>0</v>
      </c>
      <c r="G17" s="21">
        <f>Item15!D3</f>
        <v>100</v>
      </c>
      <c r="H17" s="22">
        <f>Item15!E3</f>
        <v>397.42</v>
      </c>
      <c r="I17" s="22">
        <f t="shared" si="1"/>
        <v>39742</v>
      </c>
    </row>
    <row r="18" spans="1:9" ht="225" x14ac:dyDescent="0.25">
      <c r="A18" s="21" t="s">
        <v>32</v>
      </c>
      <c r="B18" s="21">
        <f>Item16!A3</f>
        <v>16</v>
      </c>
      <c r="C18" s="23" t="str">
        <f>Item16!B3</f>
        <v>REFRIGERADOR, com as seguintes especificações:
• Volume interno total: mínimo de 340 litros;
• Selo Procel Classe A;
• Tensão elétrica: 127V;
• Frost free;
• Prateleiras removíveis;
• Portas reversíveis;
• Controle de temperatura;
• Fluído refrigerante ecológico;
• Cor branca.
• Garantia de, no mínimo, 12 (doze) meses.</v>
      </c>
      <c r="D18" s="21" t="str">
        <f>Item16!C3</f>
        <v>unidade</v>
      </c>
      <c r="E18" s="21">
        <f t="shared" si="0"/>
        <v>5</v>
      </c>
      <c r="F18" s="27">
        <v>0</v>
      </c>
      <c r="G18" s="21">
        <f>Item16!D3</f>
        <v>5</v>
      </c>
      <c r="H18" s="22">
        <f>Item16!E3</f>
        <v>2546.48</v>
      </c>
      <c r="I18" s="22">
        <f t="shared" si="1"/>
        <v>12732.4</v>
      </c>
    </row>
    <row r="19" spans="1:9" ht="225" x14ac:dyDescent="0.25">
      <c r="A19" s="21" t="s">
        <v>32</v>
      </c>
      <c r="B19" s="21">
        <f>Item17!A3</f>
        <v>17</v>
      </c>
      <c r="C19" s="23" t="str">
        <f>Item17!B3</f>
        <v>REFRIGERADOR, com as seguintes especificações:
• Volume interno total: mínimo de 340 litros;
• Selo Procel Classe A;
• Tensão elétrica: 220V;
• Frost free;
• Prateleiras removíveis;
• Portas reversíveis;
• Controle de temperatura;
• Fluído refrigerante ecológico;
• Cor branca.
• Garantia de, no mínimo, 12 (doze) meses.</v>
      </c>
      <c r="D19" s="21" t="str">
        <f>Item17!C3</f>
        <v>unidade</v>
      </c>
      <c r="E19" s="21">
        <f t="shared" si="0"/>
        <v>2</v>
      </c>
      <c r="F19" s="27">
        <v>0</v>
      </c>
      <c r="G19" s="21">
        <f>Item17!D3</f>
        <v>2</v>
      </c>
      <c r="H19" s="22">
        <f>Item17!E3</f>
        <v>2611.84</v>
      </c>
      <c r="I19" s="22">
        <f t="shared" si="1"/>
        <v>5223.68</v>
      </c>
    </row>
    <row r="20" spans="1:9" ht="180" x14ac:dyDescent="0.25">
      <c r="A20" s="21" t="s">
        <v>32</v>
      </c>
      <c r="B20" s="21">
        <f>Item18!A3</f>
        <v>18</v>
      </c>
      <c r="C20" s="23" t="str">
        <f>Item18!B3</f>
        <v>FREEZER VERTICAL FROST FREE, com as seguintes especificações:
• Capacidade: mínimo de 200 litros;
• Selo Procel classe A;
• Fluído refrigerante ecológico;
• Com gavetas removíveis;
• Controle de temperatura;
• Tensão elétrica: 127V;
• Cor branca.
• Garantia de, no mínimo, 12 (doze) meses.</v>
      </c>
      <c r="D20" s="21" t="str">
        <f>Item18!C3</f>
        <v>unidade</v>
      </c>
      <c r="E20" s="21">
        <f t="shared" si="0"/>
        <v>3</v>
      </c>
      <c r="F20" s="27">
        <v>0</v>
      </c>
      <c r="G20" s="21">
        <f>Item18!D3</f>
        <v>3</v>
      </c>
      <c r="H20" s="22">
        <f>Item18!E3</f>
        <v>2987.07</v>
      </c>
      <c r="I20" s="22">
        <f t="shared" si="1"/>
        <v>8961.2099999999991</v>
      </c>
    </row>
    <row r="21" spans="1:9" ht="180" x14ac:dyDescent="0.25">
      <c r="A21" s="21" t="s">
        <v>32</v>
      </c>
      <c r="B21" s="21">
        <f>Item19!A3</f>
        <v>19</v>
      </c>
      <c r="C21" s="23" t="str">
        <f>Item19!B3</f>
        <v>FREEZER VERTICAL FROST FREE, com as seguintes especificações:
• Capacidade: mínimo de 200 litros;
• Selo Procel classe A;
• Fluído refrigerante ecológico;
• Com gavetas removíveis;
• Controle de temperatura;
• Tensão elétrica: 220V;
• Cor branca.
• Garantia de, no mínimo, 12 (doze) meses.</v>
      </c>
      <c r="D21" s="21" t="str">
        <f>Item19!C3</f>
        <v>unidade</v>
      </c>
      <c r="E21" s="21">
        <f t="shared" si="0"/>
        <v>3</v>
      </c>
      <c r="F21" s="27">
        <v>0</v>
      </c>
      <c r="G21" s="21">
        <f>Item19!D3</f>
        <v>3</v>
      </c>
      <c r="H21" s="22">
        <f>Item19!E3</f>
        <v>3098.72</v>
      </c>
      <c r="I21" s="22">
        <f t="shared" si="1"/>
        <v>9296.16</v>
      </c>
    </row>
    <row r="22" spans="1:9" ht="150" x14ac:dyDescent="0.25">
      <c r="A22" s="21" t="s">
        <v>32</v>
      </c>
      <c r="B22" s="21">
        <f>Item20!A3</f>
        <v>20</v>
      </c>
      <c r="C22" s="23" t="str">
        <f>Item20!B3</f>
        <v>VENTILADOR DE PAREDE, com as seguintes especificações:
• Grade de metal;
• Diâmetro da grade: 100 cm, admitida variação de ± 5 cm;
• Rotação mínima: 1000 r.p.m.
• Tensão: bivolt ou 110 volts;
• Regulagem de inclinação;
• Garantia de, no mínimo, 12 (doze) meses.</v>
      </c>
      <c r="D22" s="21" t="str">
        <f>Item20!C3</f>
        <v>unidade</v>
      </c>
      <c r="E22" s="21">
        <f t="shared" si="0"/>
        <v>40</v>
      </c>
      <c r="F22" s="27">
        <v>0</v>
      </c>
      <c r="G22" s="21">
        <f>Item20!D3</f>
        <v>40</v>
      </c>
      <c r="H22" s="22">
        <f>Item20!E3</f>
        <v>1147.1400000000001</v>
      </c>
      <c r="I22" s="22">
        <f t="shared" si="1"/>
        <v>45885.599999999999</v>
      </c>
    </row>
    <row r="23" spans="1:9" ht="150" x14ac:dyDescent="0.25">
      <c r="A23" s="21" t="s">
        <v>32</v>
      </c>
      <c r="B23" s="21">
        <f>Item21!A3</f>
        <v>21</v>
      </c>
      <c r="C23" s="23" t="str">
        <f>Item21!B3</f>
        <v>VENTILADOR DE PAREDE, com as seguintes especificações:
• Grade de metal;
• Diâmetro da grade: 100 cm, admitida variação de ± 5 cm;
• Rotação mínima: 1000 r.p.m.
• Tensão: bivolt ou 220 volts;
• Regulagem de inclinação;
• Garantia de, no mínimo, 12 (doze) meses.</v>
      </c>
      <c r="D23" s="21" t="str">
        <f>Item21!C3</f>
        <v>unidade</v>
      </c>
      <c r="E23" s="21">
        <f t="shared" si="0"/>
        <v>40</v>
      </c>
      <c r="F23" s="27">
        <v>0</v>
      </c>
      <c r="G23" s="21">
        <f>Item21!D3</f>
        <v>40</v>
      </c>
      <c r="H23" s="22">
        <f>Item21!E3</f>
        <v>501.04</v>
      </c>
      <c r="I23" s="22">
        <f t="shared" si="1"/>
        <v>20041.599999999999</v>
      </c>
    </row>
    <row r="24" spans="1:9" ht="225" x14ac:dyDescent="0.25">
      <c r="A24" s="21" t="s">
        <v>32</v>
      </c>
      <c r="B24" s="21">
        <f>Item22!A3</f>
        <v>22</v>
      </c>
      <c r="C24" s="23" t="str">
        <f>Item22!B3</f>
        <v>CAFETEIRA ELÉTRICA INDUSTRIAL, com as seguintes características;
• Depósito em aço inox;
• Capacidade para 20 litros de café pronto;
• Termostato regulável na faixa de 20º C a 120º C.
• Tensão elétrica: 220V;
• Potência mínima de aquecimento: 4000 W;
• Acompanha coador de pano;
• Garantia de, no mínimo, 180 (cento e oitenta) dias.</v>
      </c>
      <c r="D24" s="21" t="str">
        <f>Item22!C3</f>
        <v>unidade</v>
      </c>
      <c r="E24" s="21">
        <f t="shared" si="0"/>
        <v>5</v>
      </c>
      <c r="F24" s="27">
        <v>20</v>
      </c>
      <c r="G24" s="21">
        <f>Item22!D3</f>
        <v>25</v>
      </c>
      <c r="H24" s="22">
        <f>Item22!E3</f>
        <v>2147.77</v>
      </c>
      <c r="I24" s="22">
        <f t="shared" si="1"/>
        <v>53694.25</v>
      </c>
    </row>
    <row r="25" spans="1:9" ht="180" x14ac:dyDescent="0.25">
      <c r="A25" s="21" t="s">
        <v>32</v>
      </c>
      <c r="B25" s="21">
        <f>Item23!A3</f>
        <v>23</v>
      </c>
      <c r="C25" s="23" t="str">
        <f>Item23!B3</f>
        <v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127 V
• Garantia de, no mínimo, 180 (cento e oitenta) dias.</v>
      </c>
      <c r="D25" s="21" t="str">
        <f>Item23!C3</f>
        <v>unidade</v>
      </c>
      <c r="E25" s="21">
        <f t="shared" si="0"/>
        <v>4</v>
      </c>
      <c r="F25" s="27">
        <v>0</v>
      </c>
      <c r="G25" s="21">
        <f>Item23!D3</f>
        <v>4</v>
      </c>
      <c r="H25" s="22">
        <f>Item23!E3</f>
        <v>340.43</v>
      </c>
      <c r="I25" s="22">
        <f t="shared" si="1"/>
        <v>1361.72</v>
      </c>
    </row>
    <row r="26" spans="1:9" ht="180" x14ac:dyDescent="0.25">
      <c r="A26" s="21" t="s">
        <v>32</v>
      </c>
      <c r="B26" s="21">
        <f>Item24!A3</f>
        <v>24</v>
      </c>
      <c r="C26" s="23" t="str">
        <f>Item24!B3</f>
        <v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220 V
• Garantia de, no mínimo, 180 (cento e oitenta) dias.</v>
      </c>
      <c r="D26" s="21" t="str">
        <f>Item24!C3</f>
        <v>unidade</v>
      </c>
      <c r="E26" s="21">
        <f t="shared" si="0"/>
        <v>4</v>
      </c>
      <c r="F26" s="27">
        <v>0</v>
      </c>
      <c r="G26" s="21">
        <f>Item24!D3</f>
        <v>4</v>
      </c>
      <c r="H26" s="22">
        <f>Item24!E3</f>
        <v>354.99</v>
      </c>
      <c r="I26" s="22">
        <f t="shared" si="1"/>
        <v>1419.96</v>
      </c>
    </row>
    <row r="27" spans="1:9" ht="409.5" x14ac:dyDescent="0.25">
      <c r="A27" s="21" t="s">
        <v>32</v>
      </c>
      <c r="B27" s="21">
        <f>Item25!A3</f>
        <v>25</v>
      </c>
      <c r="C27" s="23" t="str">
        <f>Item25!B3</f>
        <v>VÍDEO WALL CONTROLADOR 2X2, 4K, 4 TELAS, USB, HDMI, com as seguintes características:
Resolução:
• Entrada suporta: 3840 x 2160 com 30Hz;
• Saída Suporta: 1920 x 1080 com 30Hz .
Funcionalidades:
• Suporta até 4 Telas diferentes, permite várias combinações de exibição no display;
• Indicador luminoso de funcionamento: LED vermelho para ligado e LED verde significa conexão bem-sucedida com o monitor;
• Botão que altera o modo de exibição no painel. Mudança também pode ser feita pelo controle remoto;
• Botão no painel para seleção rápida da fonte de sinal HDMI (entrada/saída);
• Botão no painel para reset rápido e redefinição do controlador de vídeo Wall;
• Porta RS232, para conexão de porta serial do controlador Uso pelo fabricante;
• Leitor de cartão SD, para atualização da entrada da fonte de sinal;
• Entradas 2 USB 2.0, para conexão de periféricos como Pendrives HDs externos teclado, mouse e outros;
• Entrada R/L para fone de ouvido (3,5mm), saída estéreo de áudio analógico;
• Acesso para fibra óptica, porta para saída de áudio digital estéreo;
• Recepção de sinal infravermelho, para uso do controle remoto (IR);
• Sistema “plug and play”, sem a necessidade de instalação de software adicional;
• Garantia de, no mínimo, 12 (doze) meses.</v>
      </c>
      <c r="D27" s="21" t="str">
        <f>Item25!C3</f>
        <v>unidade</v>
      </c>
      <c r="E27" s="21">
        <f t="shared" si="0"/>
        <v>3</v>
      </c>
      <c r="F27" s="27">
        <v>0</v>
      </c>
      <c r="G27" s="21">
        <f>Item25!D3</f>
        <v>3</v>
      </c>
      <c r="H27" s="22">
        <f>Item25!E3</f>
        <v>582.94000000000005</v>
      </c>
      <c r="I27" s="22">
        <f t="shared" si="1"/>
        <v>1748.82</v>
      </c>
    </row>
    <row r="28" spans="1:9" ht="409.5" x14ac:dyDescent="0.25">
      <c r="A28" s="21">
        <v>1</v>
      </c>
      <c r="B28" s="21">
        <f>Item26!A3</f>
        <v>26</v>
      </c>
      <c r="C28" s="23" t="str">
        <f>Item26!B3</f>
        <v>PURIFICADOR DE ÁGUA, com as seguintes características:
• Tensão Elétrica: 127 volts;
• Fornecimento de água em, no mínimo, 02 (duas) temperaturas: natural e gelada;
• Refrigeração feita por compressor;
• Para uso fixado na parede ou em bancada;
• Que possibilite fácil substituição do refil pelo próprio usuário, sem a necessidade de ferramentas (sistema “girou trocou”, “troca fácil”, apenas um botão ou similar);
• Elemento filtrante com capacidade de redução de cloro livre, retenção de partículas Classe C ou superior, e eliminação de odores e sabores presentes na água;
• Capacidade de fornecimento de água gelada de, no mínimo, 0,5 L/H, conforme norma ABNT NBR 16236/2013 Versão corrigida ou mais recente;
• Ligado na água da rede;
• Fluido refrigerante ecológico;
• Vida útil do filtro de, no mínimo 06 (seis) meses;
• Selo Inmetro;
• Cor branca, cinza, prata ou preta;
• Garantia de, no mínimo, 12 (doze) meses.</v>
      </c>
      <c r="D28" s="21" t="str">
        <f>Item26!C3</f>
        <v>unidade</v>
      </c>
      <c r="E28" s="21">
        <f t="shared" si="0"/>
        <v>70</v>
      </c>
      <c r="F28" s="27">
        <v>0</v>
      </c>
      <c r="G28" s="21">
        <f>Item26!D3</f>
        <v>70</v>
      </c>
      <c r="H28" s="22">
        <f>Item26!E3</f>
        <v>494.47</v>
      </c>
      <c r="I28" s="22">
        <f t="shared" si="1"/>
        <v>34612.9</v>
      </c>
    </row>
    <row r="29" spans="1:9" ht="409.5" x14ac:dyDescent="0.25">
      <c r="A29" s="21">
        <v>1</v>
      </c>
      <c r="B29" s="21">
        <f>Item27!A3</f>
        <v>27</v>
      </c>
      <c r="C29" s="23" t="str">
        <f>Item27!B3</f>
        <v>PURIFICADOR DE ÁGUA, com as seguintes características:
• Tensão Elétrica: 220 volts;
• Fornecimento de água em, no mínimo, 02 (duas) temperaturas: natural e gelada;
• Refrigeração feita por compressor;
• Para uso fixado na parede ou em bancada;
• Que possibilite fácil substituição do refil pelo próprio usuário, sem a necessidade de ferramentas (sistema “girou trocou”, “troca fácil”, apenas um botão ou similar);
• Elemento filtrante com capacidade de redução de cloro livre, retenção de partículas Classe C ou superior, e eliminação de odores e sabores presentes na água;
• Capacidade de fornecimento de água gelada de, no mínimo, 0,5 L/H, conforme norma ABNT NBR 16236/2013 Versão corrigida ou mais recente;
• Ligado na água da rede;
• Fluido refrigerante ecológico;
• Vida útil do filtro de, no mínimo 06 (seis) meses;
• Selo Inmetro;
• Cor branca, cinza, prata ou preta;
• Garantia de, no mínimo, 12 (doze) meses.</v>
      </c>
      <c r="D29" s="21" t="str">
        <f>Item27!C3</f>
        <v>unidade</v>
      </c>
      <c r="E29" s="21">
        <f t="shared" si="0"/>
        <v>100</v>
      </c>
      <c r="F29" s="27">
        <v>0</v>
      </c>
      <c r="G29" s="21">
        <f>Item27!D3</f>
        <v>100</v>
      </c>
      <c r="H29" s="22">
        <f>Item27!E3</f>
        <v>621.41</v>
      </c>
      <c r="I29" s="22">
        <f t="shared" ref="I29:I39" si="2">ROUND((G29*H29),2)</f>
        <v>62141</v>
      </c>
    </row>
    <row r="30" spans="1:9" ht="255" x14ac:dyDescent="0.25">
      <c r="A30" s="21">
        <v>1</v>
      </c>
      <c r="B30" s="21">
        <f>Item28!A3</f>
        <v>28</v>
      </c>
      <c r="C30" s="23" t="str">
        <f>Item28!B3</f>
        <v>REFIL para Purificador de Água, com as seguintes características:
• Compatível com purificadores de água indicados nos itens 27 e 28;
• Com capacidade de redução de cloro livre, retenção de partículas Classe C ou superior e eliminação de odores e sabores presentes na água;
• Que possibilite fácil substituição pelo próprio usuário, sem a necessidade de ferramentas (sistema “girou trocou”, “troca fácil”, apenas um botão ou similar);
• Vida útil de, no mínimo, 06 (seis) meses;
• Garantia de,  no mínimo, 30 (trinta) dias.</v>
      </c>
      <c r="D30" s="21" t="str">
        <f>Item28!C3</f>
        <v>unidade</v>
      </c>
      <c r="E30" s="21">
        <f t="shared" si="0"/>
        <v>400</v>
      </c>
      <c r="F30" s="27">
        <v>0</v>
      </c>
      <c r="G30" s="21">
        <f>Item28!D3</f>
        <v>400</v>
      </c>
      <c r="H30" s="22">
        <f>Item28!E3</f>
        <v>55.33</v>
      </c>
      <c r="I30" s="22">
        <f t="shared" si="2"/>
        <v>22132</v>
      </c>
    </row>
    <row r="31" spans="1:9" ht="195" x14ac:dyDescent="0.25">
      <c r="A31" s="21" t="s">
        <v>32</v>
      </c>
      <c r="B31" s="21">
        <f>Item29!A3</f>
        <v>29</v>
      </c>
      <c r="C31" s="23" t="str">
        <f>Item29!B3</f>
        <v>MULTÍMETRO DIGITAL
• Conformidade com a IEC1010;
• Medição de Tensão DC de 200mV, 2V, 20V, 200V, 600V;
• Medição de Tensão AC: Faixas: 200V, 600V;
• Medição de Corrente DC: Faixas: 200µA, 2mA, 20mA, 200mA, 10A;
• Medição de Resistência: Faixas: 200Ω , 2kΩ , 20kΩ , 200kΩ , 20MΩ; 
• Alimentação: 01 (uma) bateria 9V.
• Garantia de, no mínimo, 6 (seis) meses.</v>
      </c>
      <c r="D31" s="21" t="str">
        <f>Item29!C3</f>
        <v>unidade</v>
      </c>
      <c r="E31" s="21">
        <f t="shared" si="0"/>
        <v>30</v>
      </c>
      <c r="F31" s="27">
        <v>0</v>
      </c>
      <c r="G31" s="21">
        <f>Item29!D3</f>
        <v>30</v>
      </c>
      <c r="H31" s="22">
        <f>Item29!E3</f>
        <v>47.26</v>
      </c>
      <c r="I31" s="22">
        <f t="shared" si="2"/>
        <v>1417.8</v>
      </c>
    </row>
    <row r="32" spans="1:9" ht="135" x14ac:dyDescent="0.25">
      <c r="A32" s="21" t="s">
        <v>32</v>
      </c>
      <c r="B32" s="21">
        <f>Item30!A3</f>
        <v>30</v>
      </c>
      <c r="C32" s="23" t="str">
        <f>Item30!B3</f>
        <v>ANTENA INTERNA PARA TV DIGITAL, com as seguintes características:
• Cabo de no mínimo 2,5 metros.
• Capta sinais UHF/HDTV
• Conector F macho
• Cor preta 
• Garantia, de no mínimo, 6 (seis) meses.</v>
      </c>
      <c r="D32" s="21" t="str">
        <f>Item30!C3</f>
        <v>unidade</v>
      </c>
      <c r="E32" s="21">
        <f t="shared" si="0"/>
        <v>30</v>
      </c>
      <c r="F32" s="27">
        <v>0</v>
      </c>
      <c r="G32" s="21">
        <f>Item30!D3</f>
        <v>30</v>
      </c>
      <c r="H32" s="22">
        <f>Item30!E3</f>
        <v>50</v>
      </c>
      <c r="I32" s="22">
        <f t="shared" si="2"/>
        <v>1500</v>
      </c>
    </row>
    <row r="33" spans="1:9" ht="255" x14ac:dyDescent="0.25">
      <c r="A33" s="21" t="s">
        <v>32</v>
      </c>
      <c r="B33" s="21">
        <f>Item31!A3</f>
        <v>31</v>
      </c>
      <c r="C33" s="23" t="str">
        <f>Item31!B3</f>
        <v>REFIL para Purificador de Água, com as seguintes características:
• Compatível com purificador de água Marca Top Life, modelo: Platinum New.
• Com capacidade de redução de cloro livre, retenção de partículas Classe C ou superior e eliminação de odores e sabores presentes na água;
• Que possibilite fácil substituição pelo próprio usuário, sem a necessidade de ferramentas (sistema “girou trocou”, “troca fácil”, apenas um botão ou similar);
• Vida útil de, no mínimo, 06 (seis) meses;
• Garantia de, no mínimo, 30 (trinta) dias.</v>
      </c>
      <c r="D33" s="21" t="str">
        <f>Item31!C3</f>
        <v>unidade</v>
      </c>
      <c r="E33" s="21">
        <f t="shared" si="0"/>
        <v>400</v>
      </c>
      <c r="F33" s="27">
        <v>0</v>
      </c>
      <c r="G33" s="21">
        <f>Item31!D3</f>
        <v>400</v>
      </c>
      <c r="H33" s="22">
        <f>Item31!E3</f>
        <v>39.57</v>
      </c>
      <c r="I33" s="22">
        <f t="shared" si="2"/>
        <v>15828</v>
      </c>
    </row>
    <row r="34" spans="1:9" ht="409.5" x14ac:dyDescent="0.25">
      <c r="A34" s="21" t="s">
        <v>32</v>
      </c>
      <c r="B34" s="21">
        <f>Item32!A3</f>
        <v>32</v>
      </c>
      <c r="C34" s="23" t="str">
        <f>Item32!B3</f>
        <v>APARELHO TELEFÔNICO IP Fixo – tipo 2, com as seguintes características:
• Terminal de comunicação IP composto por telefone, monofone, e acessórios para seu pleno funcionamento;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fixo;
• Possuir duas portas switch fast ethernet integradas internas, permitindo a conexão de um computador diretamente ao telefone IP fixo, nas velocidades de 10/100 Mbps, autosensing. Não será aceito o uso de adaptadores internos ou externos para as portas fast ethernet;
• Suportar PoE (Power over Ethernet) conforme a classificação do padrão IEEE 802.3af (calss1), suportando alimentação direta via interface ethernet;
• A porta do telefone IP deverá suportar mecanismo de qualidade de serviço e tronco de VLAN padrão 802.1q e 802.1p. Desta forma, o tráfego de dados e de voz utilizarão VLANs distintas;
• Certificado/homologado pela ANATEL;
• Possuir no mínimo os codecs G.711 e G.729;
• Permitir busca de configuração em servidores comuns por meio de protocolos padrão;
• Suportar o protocolo Session Initiation Protocol (SIP), não serão aceitos equipamentos híbridos com telefonia analógica ou que necessitem de adaptadores externos para o funcionamento;
• Possuir recurso de viva-voz bidirecional com cancelamento de eco;
• Permitir o ajuste de toque de chamada;
• Possuir ajuste de volume para fone, campainha e fone de ouvido;
• Possuir, no mínimo, 4 teclas de função programáveis;
• Possuir entrada de headset;
• Possuir base com ângulo de visão ajustável;
• Possuir display de cristal líquido (LCD) monocromático, com iluminação de fundo, com resolução mínima de 160 x 80 pixels. Este display deve prover informações de data e hora, correio e voz, ícone de chamadas perdidas, detalhes da chamada durante uma ligação, histórico de chamadas efetuadas e recebidas e configurações do aparelho;
• Suportar o idioma Português (Brasil);
• Possuir recurso de geração de supressão de silêncio;
• A compressão dos canais de voz deve ser realizada no próprio aparelho;
• Suportar o protocolo Transport Layer Security (TLS) com criptografia AES de 128 bits;
• Permitir que se efetue transferência de chamadas internas e externas. O usuário poderá optar pela transferência de uma chamada recebida para um número interno ou externo;
• Possuir recurso que indique a existência de “chamada em espera”, informando ao usuário que há uma chamada entrante durante uma conversação;
• Permitir a rediscagem do último número discado; 
• Possuir a tecla mute;
• Possuir recurso de discagem rápida para números pré-configurados pelo usuário; 
• Suportar desvio automático de chamada para voicemail ou outro destino pré-configurado;
• Suportar conferência e captura de chamadas;
• Deve suportar de forma nativa autenticação e criptografia nas chamadas telefônicas, com indicação na tela do uso destas funcionalidades;
• Garantia mínima de 12 (doze) meses.
• Referência: CISCO UC PHONE CP-7821</v>
      </c>
      <c r="D34" s="21" t="str">
        <f>Item32!C3</f>
        <v>unidade</v>
      </c>
      <c r="E34" s="21">
        <f t="shared" si="0"/>
        <v>230</v>
      </c>
      <c r="F34" s="27">
        <v>0</v>
      </c>
      <c r="G34" s="21">
        <f>Item32!D3</f>
        <v>230</v>
      </c>
      <c r="H34" s="22">
        <f>Item32!E3</f>
        <v>1134.54</v>
      </c>
      <c r="I34" s="22">
        <f t="shared" si="2"/>
        <v>260944.2</v>
      </c>
    </row>
    <row r="35" spans="1:9" ht="409.5" x14ac:dyDescent="0.25">
      <c r="A35" s="21" t="s">
        <v>32</v>
      </c>
      <c r="B35" s="21">
        <f>Item33!A3</f>
        <v>33</v>
      </c>
      <c r="C35" s="23" t="str">
        <f>Item33!B3</f>
        <v>SMARTV com as seguintes características:
Diagonal 40 polegadas;
Conversor digital integrado;
Cor preta;  Borda infinita;
 Fonte bivolt 110-220 V;
 Conexões:
 Mínimo de 2 (duas) entradas HDMI;
 Conectividade Wi-Fi;
 Mínimo de 1 (uma) entrada USB 2.0 ou superior com capacidade de reprodução de áudio, vídeo e
musicas em alta resolução direto de dispositivo USB (Pen Drive);
 Mínimo de 1 (uma) entrada de áudio/vídeo;
oMínimo de uma entrada RF para TV aberta;
oMínimo de 1 (uma) entrada ethernet.
 Controle remoto munido das pilhas necessárias para o primeiro uso;
 Acompanhado de base para uso em mesa;
Etiqueta Nacional de Eficiência Energética (ENCE):A
Manual em português;
Garantia de, no mínimo, 12 (doze) meses.</v>
      </c>
      <c r="D35" s="21" t="str">
        <f>Item33!C3</f>
        <v>unidade</v>
      </c>
      <c r="E35" s="21">
        <f t="shared" si="0"/>
        <v>20</v>
      </c>
      <c r="F35" s="27">
        <v>0</v>
      </c>
      <c r="G35" s="21">
        <f>Item33!D3</f>
        <v>20</v>
      </c>
      <c r="H35" s="22">
        <f>Item33!E3</f>
        <v>1441.7</v>
      </c>
      <c r="I35" s="22">
        <f t="shared" si="2"/>
        <v>28834</v>
      </c>
    </row>
    <row r="36" spans="1:9" ht="390" x14ac:dyDescent="0.25">
      <c r="A36" s="21" t="s">
        <v>32</v>
      </c>
      <c r="B36" s="21">
        <f>Item34!A3</f>
        <v>34</v>
      </c>
      <c r="C36" s="23" t="str">
        <f>Item34!B3</f>
        <v>TELEVISOR LED, com as seguintes características:
• Diagonal entre 30 a 32 polegadas;
• Conversor digital integrado;
• Cor preta;
• Fonte bivolt 110-220 V;
•     Conexões:
 Mínimo de 1 (uma) entrada HDMI;
 Mínimo de 1 (uma) entrada USB 2.0 ou superior com capacidade de reprodução de áudio, vídeo e musicas em alta resolução direto de dispositivo USB (Pen Drive);
 Mínimo de 1(uma) entrada de áudio/vídeo;
 Mínimo de uma entrada RF para TV aberta.
• Controle remoto munido das pilhas necessárias para o primeiro uso;
• Acompanhado de base para uso em mesa;
• Manual em português; Etiqueta Nacional de Eficiência Energética (ENCE):A
• Garantia de, no mínimo, 12 (doze) meses.</v>
      </c>
      <c r="D36" s="21" t="str">
        <f>Item34!C3</f>
        <v>unidade</v>
      </c>
      <c r="E36" s="21">
        <f t="shared" si="0"/>
        <v>35</v>
      </c>
      <c r="F36" s="27">
        <v>0</v>
      </c>
      <c r="G36" s="21">
        <f>Item34!D3</f>
        <v>35</v>
      </c>
      <c r="H36" s="22">
        <f>Item34!E3</f>
        <v>1024.54</v>
      </c>
      <c r="I36" s="22">
        <f t="shared" si="2"/>
        <v>35858.9</v>
      </c>
    </row>
    <row r="37" spans="1:9" ht="409.5" x14ac:dyDescent="0.25">
      <c r="A37" s="21" t="s">
        <v>32</v>
      </c>
      <c r="B37" s="21">
        <f>Item35!A3</f>
        <v>35</v>
      </c>
      <c r="C37" s="23" t="str">
        <f>Item35!B3</f>
        <v>APARELHO TELEFÔNICO IP Fixo – tipo 1, com as seguintes características:
• Terminal de comunicação IP composto por telefone, monofone, e acessórios para seu pleno funcionamento.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fixo.
• Possuir duas portas switch fast ethernet integradas internas, permitindo a conexão de um computador diretamente ao telefone IP fixo, nas velocidades de 10/100 Mbps, autosensing. Não será aceito o uso de adaptadores internos ou externos para as portas fast ethernet.
• Suportar PoE (Power over Ethernet) conforme a classificação do padrão IEEE 802.3af (calss1), suportando alimentação direta via interface ethernet.
• A porta do telefone IP deverá suportar mecanismo de qualidade de serviço e tronco de VLAN padrão 802.1q e 802.1p. Desta forma, o tráfego de dados e de voz utilizarão VLANs distintas.
• Certificado/homologado pela ANATEL.
• Possuir no mínimo os codecs G.711 e G.729.
• Permitir busca de configuração em servidores comuns por meio de protocolos padrão.
• Suportar o protocolo Session Initiation Protocol (SIP), não serão aceitos equipamentos híbridos com telefonia analógica ou que necessitem de adaptadores externos para o funcionamento.
• Possuir recurso de viva-voz bidirecional com cancelamento de eco.
• Permitir o ajuste de toque de chamada.
• Deve possuir ajuste de volume para fone, campainha e fone de ouvido.
• Deve possuir display de cristal líquido (LCD) monocromático, com iluminação de fundo, com resolução mínima de 128 x 32 pixels. Este display deve prover informações de data e hora, correio e voz, ícone de chamadas perdidas, detalhes da chamada durante uma ligação, histórico de chamadas efetuadas e recebidas e configurações do aparelho.
• Suportar o idioma Português (Brasil).
• Possuir recurso de geração de supressão de silêncio.
• A compressão dos canais de voz deve ser realizada no próprio aparelho.
• Permitir que se efetue transferência de chamadas internas e externas. O usuário poderá optar pela transferência de uma chamada recebida para um número interno ou externo.
• Possuir recurso que indique a existência de “chamada em espera”, informando ao usuário que há uma chamada entrante durante uma conversação.
• Permitir a rediscagem do último número discado.
• Possuir a tecla mute.
• Possuir recurso de discagem rápida para números pré-configurados pelo usuário.
• Suportar desvio automático de chamada para voicemail ou outro destino pré-configurado.
• Suportar conferência e captura de chamadas.
• Possuir fonte de energia compatível e do mesmo fabricante do telefone IP. A fonte deve operar na faixa de 110 Vac a 240 Vac, com chaveamento automático (conversão automática), frequência de 50-60 Hz e tomada padrão brasileiro.
• Garantia mínima de 12 (doze) meses.
• Referência: CISCO SIP PHONE 3905</v>
      </c>
      <c r="D37" s="21" t="str">
        <f>Item35!C3</f>
        <v>unidade</v>
      </c>
      <c r="E37" s="21">
        <f t="shared" si="0"/>
        <v>125</v>
      </c>
      <c r="F37" s="27">
        <v>0</v>
      </c>
      <c r="G37" s="21">
        <f>Item35!D3</f>
        <v>125</v>
      </c>
      <c r="H37" s="22">
        <f>Item35!E3</f>
        <v>550.75</v>
      </c>
      <c r="I37" s="22">
        <f t="shared" si="2"/>
        <v>68843.75</v>
      </c>
    </row>
    <row r="38" spans="1:9" ht="225" x14ac:dyDescent="0.25">
      <c r="A38" s="21" t="s">
        <v>32</v>
      </c>
      <c r="B38" s="21">
        <f>Item36!A3</f>
        <v>36</v>
      </c>
      <c r="C38" s="23" t="str">
        <f>Item36!B3</f>
        <v>REFRIGERADOR, com as seguintes especificações:
• Tipo frigobar;
• Volume interno total: 75 a 95 litros;
• Selo Procel Classe A;
• Tensão elétrica: 127V;
• Degelo automático ou bandeja de degelo;
• Prateleiras removíveis;
• Portas reversíveis;
• Controle de temperatura;
• Cor branca.
• Garantia de, no mínimo, 12 (doze) meses.</v>
      </c>
      <c r="D38" s="21" t="str">
        <f>Item36!C3</f>
        <v>unidade</v>
      </c>
      <c r="E38" s="21">
        <f t="shared" si="0"/>
        <v>20</v>
      </c>
      <c r="F38" s="27">
        <v>0</v>
      </c>
      <c r="G38" s="21">
        <f>Item36!D3</f>
        <v>20</v>
      </c>
      <c r="H38" s="22">
        <f>Item36!E3</f>
        <v>1217.93</v>
      </c>
      <c r="I38" s="22">
        <f t="shared" si="2"/>
        <v>24358.6</v>
      </c>
    </row>
    <row r="39" spans="1:9" ht="409.5" x14ac:dyDescent="0.25">
      <c r="A39" s="21" t="s">
        <v>32</v>
      </c>
      <c r="B39" s="21">
        <f>Item37!A3</f>
        <v>37</v>
      </c>
      <c r="C39" s="23" t="str">
        <f>Item37!B3</f>
        <v>APARELHO TELEFÔNICO IP Fixo – tipo 2, com as seguintes características:
• Terminal de comunicação IP composto por telefone, monofone, e acessórios para seu pleno funcionamento;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fixo;
• Possuir duas portas switch fast ethernet integradas internas, permitindo a conexão de um computador diretamente ao telefone IP fixo, nas velocidades de 10/100 Mbps, autosensing. Não será aceito o uso de adaptadores internos ou externos para as portas fast ethernet;
• Suportar PoE (Power over Ethernet) conforme a classificação do padrão IEEE 802.3af (calss1), suportando alimentação direta via interface ethernet;
• A porta do telefone IP deverá suportar mecanismo de qualidade de serviço e tronco de VLAN padrão 802.1q e 802.1p. Desta forma, o tráfego de dados e de voz utilizarão VLANs distintas;
• Certificado/homologado pela ANATEL;
• Possuir no mínimo os codecs G.711 e G.729;
• Permitir busca de configuração em servidores comuns por meio de protocolos padrão;
• Suportar o protocolo Session Initiation Protocol (SIP), não serão aceitos equipamentos híbridos com telefonia analógica ou que necessitem de adaptadores externos para o funcionamento;
• Possuir recurso de viva-voz bidirecional com cancelamento de eco;
• Permitir o ajuste de toque de chamada;
• Possuir ajuste de volume para fone, campainha e fone de ouvido;
• Possuir, no mínimo, 4 teclas de função programáveis;
• Possuir entrada de headset;
• Possuir base com ângulo de visão ajustável;
• Possuir display de cristal líquido (LCD) monocromático, com iluminação de fundo, com resolução mínima de 160 x 80 pixels. Este display deve prover informações de data e hora, correio e voz, ícone de chamadas perdidas, detalhes da chamada durante uma ligação, histórico de chamadas efetuadas e recebidas e configurações do aparelho;
• Suportar o idioma Português (Brasil);
• Possuir recurso de geração de supressão de silêncio;
• A compressão dos canais de voz deve ser realizada no próprio aparelho;
• Suportar o protocolo Transport Layer Security (TLS) com criptografia AES de 128 bits;
• Permitir que se efetue transferência de chamadas internas e externas. O usuário poderá optar pela transferência de uma chamada recebida para um número interno ou externo;
• Possuir recurso que indique a existência de “chamada em espera”, informando ao usuário que há uma chamada entrante durante uma conversação;
• Permitir a rediscagem do último número discado; 
• Possuir a tecla mute;
• Possuir recurso de discagem rápida para números pré-configurados pelo usuário; 
• Suportar desvio automático de chamada para voicemail ou outro destino pré-configurado;
• Suportar conferência e captura de chamadas;
• Deve suportar de forma nativa autenticação e criptografia nas chamadas telefônicas, com indicação na tela do uso destas funcionalidades;
• Garantia mínima de 12 (doze) meses.
• Referência: CISCO UC PHONE CP-7821</v>
      </c>
      <c r="D39" s="21" t="str">
        <f>Item37!C3</f>
        <v>unidade</v>
      </c>
      <c r="E39" s="21">
        <f t="shared" si="0"/>
        <v>70</v>
      </c>
      <c r="F39" s="27">
        <v>0</v>
      </c>
      <c r="G39" s="21">
        <f>Item37!D3</f>
        <v>70</v>
      </c>
      <c r="H39" s="22">
        <f>Item37!E3</f>
        <v>1134.54</v>
      </c>
      <c r="I39" s="22">
        <f t="shared" si="2"/>
        <v>79417.8</v>
      </c>
    </row>
    <row r="40" spans="1:9" ht="15.75" thickBot="1" x14ac:dyDescent="0.3"/>
    <row r="41" spans="1:9" ht="16.5" thickTop="1" thickBot="1" x14ac:dyDescent="0.3">
      <c r="D41" s="18"/>
      <c r="E41" s="26"/>
      <c r="F41" s="26"/>
      <c r="G41" s="19" t="s">
        <v>31</v>
      </c>
      <c r="H41" s="20">
        <f>SUM(I:I)</f>
        <v>1570556.56</v>
      </c>
    </row>
    <row r="42" spans="1:9" ht="15.75" thickTop="1" x14ac:dyDescent="0.25">
      <c r="H42" s="3"/>
    </row>
    <row r="43" spans="1:9" ht="15" customHeight="1" x14ac:dyDescent="0.25">
      <c r="D43" s="41" t="s">
        <v>264</v>
      </c>
      <c r="E43" s="42"/>
      <c r="F43" s="42"/>
      <c r="G43" s="43"/>
      <c r="H43" s="39">
        <v>1</v>
      </c>
    </row>
    <row r="44" spans="1:9" x14ac:dyDescent="0.25">
      <c r="D44" s="36" t="s">
        <v>265</v>
      </c>
      <c r="E44" s="37"/>
      <c r="F44" s="37"/>
      <c r="G44" s="40"/>
      <c r="H44" s="38">
        <f>I30+I28+I29</f>
        <v>118885.9</v>
      </c>
    </row>
    <row r="45" spans="1:9" x14ac:dyDescent="0.25">
      <c r="D45" s="4"/>
      <c r="E45" s="4"/>
      <c r="F45" s="4"/>
      <c r="G45" s="4"/>
      <c r="H45" s="4"/>
    </row>
    <row r="46" spans="1:9" x14ac:dyDescent="0.25">
      <c r="D46" s="4"/>
      <c r="E46" s="4"/>
      <c r="F46" s="4"/>
      <c r="G46" s="4"/>
      <c r="H46" s="4"/>
    </row>
    <row r="47" spans="1:9" x14ac:dyDescent="0.25">
      <c r="D47" s="4"/>
      <c r="E47" s="4"/>
      <c r="F47" s="4"/>
      <c r="G47" s="4"/>
      <c r="H47" s="4"/>
    </row>
    <row r="48" spans="1:9" x14ac:dyDescent="0.25">
      <c r="D48" s="4"/>
      <c r="E48" s="4"/>
      <c r="F48" s="4"/>
      <c r="G48" s="4"/>
      <c r="H48" s="4"/>
    </row>
  </sheetData>
  <mergeCells count="3">
    <mergeCell ref="A1:I1"/>
    <mergeCell ref="D43:G43"/>
    <mergeCell ref="D44:G44"/>
  </mergeCells>
  <pageMargins left="0.51181102362204722" right="0.51181102362204722" top="1.2598425196850394" bottom="0.78740157480314965" header="0.31496062992125984" footer="0.31496062992125984"/>
  <pageSetup paperSize="9" scale="71" orientation="portrait" r:id="rId1"/>
  <headerFooter>
    <oddHeader>&amp;C&amp;G</oddHeader>
    <oddFooter>&amp;L&amp;"-,Negrito"Estimativa em &amp;D&amp;Rn/a = não se aplica</oddFooter>
  </headerFooter>
  <rowBreaks count="1" manualBreakCount="1">
    <brk id="2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4" sqref="H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5</v>
      </c>
      <c r="B3" s="30" t="s">
        <v>38</v>
      </c>
      <c r="C3" s="32" t="s">
        <v>7</v>
      </c>
      <c r="D3" s="32">
        <v>50</v>
      </c>
      <c r="E3" s="33">
        <f>IF(C20&lt;=25%,D20,MIN(E20:F20))</f>
        <v>180.01</v>
      </c>
      <c r="F3" s="33">
        <f>MIN(H3:H17)</f>
        <v>137.79</v>
      </c>
      <c r="G3" s="5" t="s">
        <v>75</v>
      </c>
      <c r="H3" s="16">
        <v>137.79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76</v>
      </c>
      <c r="H4" s="16">
        <v>143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77</v>
      </c>
      <c r="H5" s="16">
        <v>146.5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78</v>
      </c>
      <c r="H6" s="16">
        <v>159.78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79</v>
      </c>
      <c r="H7" s="16">
        <v>161.88999999999999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80</v>
      </c>
      <c r="H8" s="16">
        <v>176.53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 t="s">
        <v>81</v>
      </c>
      <c r="H9" s="16">
        <v>182.15</v>
      </c>
      <c r="I9" s="17" t="str">
        <f t="shared" si="0"/>
        <v>n/a</v>
      </c>
    </row>
    <row r="10" spans="1:9" x14ac:dyDescent="0.25">
      <c r="A10" s="34"/>
      <c r="B10" s="31"/>
      <c r="C10" s="32"/>
      <c r="D10" s="32"/>
      <c r="E10" s="33"/>
      <c r="F10" s="33"/>
      <c r="G10" s="5" t="s">
        <v>82</v>
      </c>
      <c r="H10" s="16">
        <v>185</v>
      </c>
      <c r="I10" s="17" t="str">
        <f t="shared" si="0"/>
        <v>n/a</v>
      </c>
    </row>
    <row r="11" spans="1:9" x14ac:dyDescent="0.25">
      <c r="A11" s="34"/>
      <c r="B11" s="31"/>
      <c r="C11" s="32"/>
      <c r="D11" s="32"/>
      <c r="E11" s="33"/>
      <c r="F11" s="33"/>
      <c r="G11" s="5" t="s">
        <v>83</v>
      </c>
      <c r="H11" s="16">
        <v>195</v>
      </c>
      <c r="I11" s="17" t="str">
        <f t="shared" si="0"/>
        <v>n/a</v>
      </c>
    </row>
    <row r="12" spans="1:9" x14ac:dyDescent="0.25">
      <c r="A12" s="34"/>
      <c r="B12" s="31"/>
      <c r="C12" s="32"/>
      <c r="D12" s="32"/>
      <c r="E12" s="33"/>
      <c r="F12" s="33"/>
      <c r="G12" s="5" t="s">
        <v>84</v>
      </c>
      <c r="H12" s="16">
        <v>200</v>
      </c>
      <c r="I12" s="17" t="str">
        <f t="shared" si="0"/>
        <v>n/a</v>
      </c>
    </row>
    <row r="13" spans="1:9" x14ac:dyDescent="0.25">
      <c r="A13" s="34"/>
      <c r="B13" s="31"/>
      <c r="C13" s="32"/>
      <c r="D13" s="32"/>
      <c r="E13" s="33"/>
      <c r="F13" s="33"/>
      <c r="G13" s="5" t="s">
        <v>85</v>
      </c>
      <c r="H13" s="16">
        <v>200</v>
      </c>
      <c r="I13" s="17" t="str">
        <f t="shared" si="0"/>
        <v>n/a</v>
      </c>
    </row>
    <row r="14" spans="1:9" x14ac:dyDescent="0.25">
      <c r="A14" s="34"/>
      <c r="B14" s="31"/>
      <c r="C14" s="32"/>
      <c r="D14" s="32"/>
      <c r="E14" s="33"/>
      <c r="F14" s="33"/>
      <c r="G14" s="5" t="s">
        <v>86</v>
      </c>
      <c r="H14" s="16">
        <v>200.79</v>
      </c>
      <c r="I14" s="17" t="str">
        <f t="shared" si="0"/>
        <v>n/a</v>
      </c>
    </row>
    <row r="15" spans="1:9" x14ac:dyDescent="0.25">
      <c r="A15" s="34"/>
      <c r="B15" s="31"/>
      <c r="C15" s="32"/>
      <c r="D15" s="32"/>
      <c r="E15" s="33"/>
      <c r="F15" s="33"/>
      <c r="G15" s="5" t="s">
        <v>87</v>
      </c>
      <c r="H15" s="16">
        <v>202</v>
      </c>
      <c r="I15" s="17" t="str">
        <f t="shared" si="0"/>
        <v>n/a</v>
      </c>
    </row>
    <row r="16" spans="1:9" x14ac:dyDescent="0.25">
      <c r="A16" s="34"/>
      <c r="B16" s="31"/>
      <c r="C16" s="32"/>
      <c r="D16" s="32"/>
      <c r="E16" s="33"/>
      <c r="F16" s="33"/>
      <c r="G16" s="5" t="s">
        <v>88</v>
      </c>
      <c r="H16" s="16">
        <v>204.8</v>
      </c>
      <c r="I16" s="17" t="str">
        <f t="shared" si="0"/>
        <v>n/a</v>
      </c>
    </row>
    <row r="17" spans="1:9" x14ac:dyDescent="0.25">
      <c r="A17" s="34"/>
      <c r="B17" s="31"/>
      <c r="C17" s="32"/>
      <c r="D17" s="32"/>
      <c r="E17" s="33"/>
      <c r="F17" s="33"/>
      <c r="G17" s="5" t="s">
        <v>89</v>
      </c>
      <c r="H17" s="16">
        <v>204.98</v>
      </c>
      <c r="I17" s="17" t="str">
        <f t="shared" si="0"/>
        <v>n/a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24.248239346982963</v>
      </c>
      <c r="B20" s="8">
        <f>COUNT(H3:H17)</f>
        <v>15</v>
      </c>
      <c r="C20" s="9">
        <f>IF(B20&lt;2,"n/a",(A20/D20))</f>
        <v>0.13470495720783826</v>
      </c>
      <c r="D20" s="10">
        <f>IFERROR(ROUND(AVERAGE(H3:H17),2),"")</f>
        <v>180.01</v>
      </c>
      <c r="E20" s="15" t="str">
        <f>IFERROR(ROUND(IF(B20&lt;2,"n/a",(IF(C20&lt;=25%,"n/a",AVERAGE(I3:I17)))),2),"n/a")</f>
        <v>n/a</v>
      </c>
      <c r="F20" s="10">
        <f>IFERROR(ROUND(MEDIAN(H3:H17),2),"")</f>
        <v>185</v>
      </c>
      <c r="G20" s="11" t="str">
        <f>IFERROR(INDEX(G3:G17,MATCH(H20,H3:H17,0)),"")</f>
        <v>DUARTE COMERCIO VAREJISTA COM PREDOMINANCIA DE PRODUTOS ALIMENTICIOS LTDA</v>
      </c>
      <c r="H20" s="12">
        <f>F3</f>
        <v>137.79</v>
      </c>
    </row>
    <row r="22" spans="1:9" x14ac:dyDescent="0.25">
      <c r="G22" s="13" t="s">
        <v>20</v>
      </c>
      <c r="H22" s="14">
        <f>IF(C20&lt;=25%,D20,MIN(E20:F20))</f>
        <v>180.01</v>
      </c>
    </row>
    <row r="23" spans="1:9" x14ac:dyDescent="0.25">
      <c r="G23" s="13" t="s">
        <v>6</v>
      </c>
      <c r="H23" s="14">
        <f>ROUND(H22,2)*D3</f>
        <v>9000.5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6</v>
      </c>
      <c r="B3" s="30" t="s">
        <v>39</v>
      </c>
      <c r="C3" s="32" t="s">
        <v>7</v>
      </c>
      <c r="D3" s="32">
        <v>50</v>
      </c>
      <c r="E3" s="33">
        <f>IF(C20&lt;=25%,D20,MIN(E20:F20))</f>
        <v>117.87</v>
      </c>
      <c r="F3" s="33">
        <f>MIN(H3:H17)</f>
        <v>98.99</v>
      </c>
      <c r="G3" s="5" t="s">
        <v>90</v>
      </c>
      <c r="H3" s="16">
        <v>98.99</v>
      </c>
      <c r="I3" s="17">
        <f>IF(H3="","",(IF($C$20&lt;25%,"n/a",IF(H3&lt;=($D$20+$A$20),H3,"Descartado"))))</f>
        <v>98.99</v>
      </c>
    </row>
    <row r="4" spans="1:9" x14ac:dyDescent="0.25">
      <c r="A4" s="34"/>
      <c r="B4" s="31"/>
      <c r="C4" s="32"/>
      <c r="D4" s="32"/>
      <c r="E4" s="33"/>
      <c r="F4" s="33"/>
      <c r="G4" s="5" t="s">
        <v>91</v>
      </c>
      <c r="H4" s="16">
        <v>136.74</v>
      </c>
      <c r="I4" s="17">
        <f t="shared" ref="I4:I17" si="0">IF(H4="","",(IF($C$20&lt;25%,"n/a",IF(H4&lt;=($D$20+$A$20),H4,"Descartado"))))</f>
        <v>136.74</v>
      </c>
    </row>
    <row r="5" spans="1:9" x14ac:dyDescent="0.25">
      <c r="A5" s="34"/>
      <c r="B5" s="31"/>
      <c r="C5" s="32"/>
      <c r="D5" s="32"/>
      <c r="E5" s="33"/>
      <c r="F5" s="33"/>
      <c r="G5" s="5" t="s">
        <v>92</v>
      </c>
      <c r="H5" s="16">
        <v>196.91</v>
      </c>
      <c r="I5" s="17" t="str">
        <f t="shared" si="0"/>
        <v>Descartado</v>
      </c>
    </row>
    <row r="6" spans="1:9" x14ac:dyDescent="0.25">
      <c r="A6" s="34"/>
      <c r="B6" s="31"/>
      <c r="C6" s="32"/>
      <c r="D6" s="32"/>
      <c r="E6" s="33"/>
      <c r="F6" s="33"/>
      <c r="G6" s="5"/>
      <c r="H6" s="16"/>
      <c r="I6" s="17" t="str">
        <f t="shared" si="0"/>
        <v/>
      </c>
    </row>
    <row r="7" spans="1:9" x14ac:dyDescent="0.25">
      <c r="A7" s="34"/>
      <c r="B7" s="31"/>
      <c r="C7" s="32"/>
      <c r="D7" s="32"/>
      <c r="E7" s="33"/>
      <c r="F7" s="33"/>
      <c r="G7" s="5"/>
      <c r="H7" s="16"/>
      <c r="I7" s="17" t="str">
        <f t="shared" si="0"/>
        <v/>
      </c>
    </row>
    <row r="8" spans="1:9" x14ac:dyDescent="0.25">
      <c r="A8" s="34"/>
      <c r="B8" s="31"/>
      <c r="C8" s="32"/>
      <c r="D8" s="32"/>
      <c r="E8" s="33"/>
      <c r="F8" s="33"/>
      <c r="G8" s="5"/>
      <c r="H8" s="16"/>
      <c r="I8" s="17" t="str">
        <f t="shared" si="0"/>
        <v/>
      </c>
    </row>
    <row r="9" spans="1:9" x14ac:dyDescent="0.25">
      <c r="A9" s="34"/>
      <c r="B9" s="31"/>
      <c r="C9" s="32"/>
      <c r="D9" s="32"/>
      <c r="E9" s="33"/>
      <c r="F9" s="33"/>
      <c r="G9" s="5"/>
      <c r="H9" s="16"/>
      <c r="I9" s="17" t="str">
        <f t="shared" si="0"/>
        <v/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49.385925457900832</v>
      </c>
      <c r="B20" s="8">
        <f>COUNT(H3:H17)</f>
        <v>3</v>
      </c>
      <c r="C20" s="9">
        <f>IF(B20&lt;2,"n/a",(A20/D20))</f>
        <v>0.34245839718397358</v>
      </c>
      <c r="D20" s="10">
        <f>IFERROR(ROUND(AVERAGE(H3:H17),2),"")</f>
        <v>144.21</v>
      </c>
      <c r="E20" s="15">
        <f>IFERROR(ROUND(IF(B20&lt;2,"n/a",(IF(C20&lt;=25%,"n/a",AVERAGE(I3:I17)))),2),"n/a")</f>
        <v>117.87</v>
      </c>
      <c r="F20" s="10">
        <f>IFERROR(ROUND(MEDIAN(H3:H17),2),"")</f>
        <v>136.74</v>
      </c>
      <c r="G20" s="11" t="str">
        <f>IFERROR(INDEX(G3:G17,MATCH(H20,H3:H17,0)),"")</f>
        <v>R L A MOREIRA DISTRIBUIDORA</v>
      </c>
      <c r="H20" s="12">
        <f>F3</f>
        <v>98.99</v>
      </c>
    </row>
    <row r="22" spans="1:9" x14ac:dyDescent="0.25">
      <c r="G22" s="13" t="s">
        <v>20</v>
      </c>
      <c r="H22" s="14">
        <f>IF(C20&lt;=25%,D20,MIN(E20:F20))</f>
        <v>117.87</v>
      </c>
    </row>
    <row r="23" spans="1:9" x14ac:dyDescent="0.25">
      <c r="G23" s="13" t="s">
        <v>6</v>
      </c>
      <c r="H23" s="14">
        <f>ROUND(H22,2)*D3</f>
        <v>5893.5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3" sqref="H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7</v>
      </c>
      <c r="B3" s="30" t="s">
        <v>40</v>
      </c>
      <c r="C3" s="32" t="s">
        <v>7</v>
      </c>
      <c r="D3" s="32">
        <f>60+20</f>
        <v>80</v>
      </c>
      <c r="E3" s="33">
        <f>IF(C20&lt;=25%,D20,MIN(E20:F20))</f>
        <v>615.54999999999995</v>
      </c>
      <c r="F3" s="33">
        <f>MIN(H3:H17)</f>
        <v>560</v>
      </c>
      <c r="G3" s="5" t="s">
        <v>93</v>
      </c>
      <c r="H3" s="16">
        <v>560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94</v>
      </c>
      <c r="H4" s="16">
        <v>590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95</v>
      </c>
      <c r="H5" s="16">
        <v>606.99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96</v>
      </c>
      <c r="H6" s="16">
        <v>610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97</v>
      </c>
      <c r="H7" s="16">
        <v>628.27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98</v>
      </c>
      <c r="H8" s="16">
        <v>629.20000000000005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 t="s">
        <v>99</v>
      </c>
      <c r="H9" s="16">
        <v>630</v>
      </c>
      <c r="I9" s="17" t="str">
        <f t="shared" si="0"/>
        <v>n/a</v>
      </c>
    </row>
    <row r="10" spans="1:9" x14ac:dyDescent="0.25">
      <c r="A10" s="34"/>
      <c r="B10" s="31"/>
      <c r="C10" s="32"/>
      <c r="D10" s="32"/>
      <c r="E10" s="33"/>
      <c r="F10" s="33"/>
      <c r="G10" s="5" t="s">
        <v>100</v>
      </c>
      <c r="H10" s="16">
        <v>630</v>
      </c>
      <c r="I10" s="17" t="str">
        <f t="shared" si="0"/>
        <v>n/a</v>
      </c>
    </row>
    <row r="11" spans="1:9" x14ac:dyDescent="0.25">
      <c r="A11" s="34"/>
      <c r="B11" s="31"/>
      <c r="C11" s="32"/>
      <c r="D11" s="32"/>
      <c r="E11" s="33"/>
      <c r="F11" s="33"/>
      <c r="G11" s="5" t="s">
        <v>101</v>
      </c>
      <c r="H11" s="16">
        <v>630</v>
      </c>
      <c r="I11" s="17" t="str">
        <f t="shared" si="0"/>
        <v>n/a</v>
      </c>
    </row>
    <row r="12" spans="1:9" x14ac:dyDescent="0.25">
      <c r="A12" s="34"/>
      <c r="B12" s="31"/>
      <c r="C12" s="32"/>
      <c r="D12" s="32"/>
      <c r="E12" s="33"/>
      <c r="F12" s="33"/>
      <c r="G12" s="5" t="s">
        <v>102</v>
      </c>
      <c r="H12" s="16">
        <v>641</v>
      </c>
      <c r="I12" s="17" t="str">
        <f t="shared" si="0"/>
        <v>n/a</v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24.641680678611731</v>
      </c>
      <c r="B20" s="8">
        <f>COUNT(H3:H17)</f>
        <v>10</v>
      </c>
      <c r="C20" s="9">
        <f>IF(B20&lt;2,"n/a",(A20/D20))</f>
        <v>4.003197251013197E-2</v>
      </c>
      <c r="D20" s="10">
        <f>IFERROR(ROUND(AVERAGE(H3:H17),2),"")</f>
        <v>615.54999999999995</v>
      </c>
      <c r="E20" s="15" t="str">
        <f>IFERROR(ROUND(IF(B20&lt;2,"n/a",(IF(C20&lt;=25%,"n/a",AVERAGE(I3:I17)))),2),"n/a")</f>
        <v>n/a</v>
      </c>
      <c r="F20" s="10">
        <f>IFERROR(ROUND(MEDIAN(H3:H17),2),"")</f>
        <v>628.74</v>
      </c>
      <c r="G20" s="11" t="str">
        <f>IFERROR(INDEX(G3:G17,MATCH(H20,H3:H17,0)),"")</f>
        <v>SSB SUPREMOS COMERCIO E SERVICOS LTDA</v>
      </c>
      <c r="H20" s="12">
        <f>F3</f>
        <v>560</v>
      </c>
    </row>
    <row r="22" spans="1:9" x14ac:dyDescent="0.25">
      <c r="G22" s="13" t="s">
        <v>20</v>
      </c>
      <c r="H22" s="14">
        <f>IF(C20&lt;=25%,D20,MIN(E20:F20))</f>
        <v>615.54999999999995</v>
      </c>
    </row>
    <row r="23" spans="1:9" x14ac:dyDescent="0.25">
      <c r="G23" s="13" t="s">
        <v>6</v>
      </c>
      <c r="H23" s="14">
        <f>ROUND(H22,2)*D3</f>
        <v>49244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8</v>
      </c>
      <c r="B3" s="30" t="s">
        <v>41</v>
      </c>
      <c r="C3" s="32" t="s">
        <v>7</v>
      </c>
      <c r="D3" s="32">
        <v>30</v>
      </c>
      <c r="E3" s="33">
        <f>IF(C20&lt;=25%,D20,MIN(E20:F20))</f>
        <v>695.48</v>
      </c>
      <c r="F3" s="33">
        <f>MIN(H3:H17)</f>
        <v>643.49</v>
      </c>
      <c r="G3" s="5" t="s">
        <v>80</v>
      </c>
      <c r="H3" s="16">
        <v>643.49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103</v>
      </c>
      <c r="H4" s="16">
        <v>650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104</v>
      </c>
      <c r="H5" s="16">
        <v>654.67999999999995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105</v>
      </c>
      <c r="H6" s="16">
        <v>683.88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106</v>
      </c>
      <c r="H7" s="16">
        <v>684.91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107</v>
      </c>
      <c r="H8" s="16">
        <v>836.5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 t="s">
        <v>242</v>
      </c>
      <c r="H9" s="16">
        <v>714.9</v>
      </c>
      <c r="I9" s="17" t="str">
        <f t="shared" si="0"/>
        <v>n/a</v>
      </c>
    </row>
    <row r="10" spans="1:9" x14ac:dyDescent="0.25">
      <c r="A10" s="34"/>
      <c r="B10" s="31"/>
      <c r="C10" s="32"/>
      <c r="D10" s="32"/>
      <c r="E10" s="33"/>
      <c r="F10" s="33"/>
      <c r="G10" s="5"/>
      <c r="H10" s="16"/>
      <c r="I10" s="17" t="str">
        <f t="shared" si="0"/>
        <v/>
      </c>
    </row>
    <row r="11" spans="1:9" x14ac:dyDescent="0.25">
      <c r="A11" s="34"/>
      <c r="B11" s="31"/>
      <c r="C11" s="32"/>
      <c r="D11" s="32"/>
      <c r="E11" s="33"/>
      <c r="F11" s="33"/>
      <c r="G11" s="5"/>
      <c r="H11" s="16"/>
      <c r="I11" s="17" t="str">
        <f t="shared" si="0"/>
        <v/>
      </c>
    </row>
    <row r="12" spans="1:9" x14ac:dyDescent="0.25">
      <c r="A12" s="34"/>
      <c r="B12" s="31"/>
      <c r="C12" s="32"/>
      <c r="D12" s="32"/>
      <c r="E12" s="33"/>
      <c r="F12" s="33"/>
      <c r="G12" s="5"/>
      <c r="H12" s="16"/>
      <c r="I12" s="17" t="str">
        <f t="shared" si="0"/>
        <v/>
      </c>
    </row>
    <row r="13" spans="1:9" x14ac:dyDescent="0.25">
      <c r="A13" s="34"/>
      <c r="B13" s="31"/>
      <c r="C13" s="32"/>
      <c r="D13" s="32"/>
      <c r="E13" s="33"/>
      <c r="F13" s="33"/>
      <c r="G13" s="5"/>
      <c r="H13" s="16"/>
      <c r="I13" s="17" t="str">
        <f t="shared" si="0"/>
        <v/>
      </c>
    </row>
    <row r="14" spans="1:9" x14ac:dyDescent="0.25">
      <c r="A14" s="34"/>
      <c r="B14" s="31"/>
      <c r="C14" s="32"/>
      <c r="D14" s="32"/>
      <c r="E14" s="33"/>
      <c r="F14" s="33"/>
      <c r="G14" s="5"/>
      <c r="H14" s="16"/>
      <c r="I14" s="17" t="str">
        <f t="shared" si="0"/>
        <v/>
      </c>
    </row>
    <row r="15" spans="1:9" x14ac:dyDescent="0.25">
      <c r="A15" s="34"/>
      <c r="B15" s="31"/>
      <c r="C15" s="32"/>
      <c r="D15" s="32"/>
      <c r="E15" s="33"/>
      <c r="F15" s="33"/>
      <c r="G15" s="5"/>
      <c r="H15" s="16"/>
      <c r="I15" s="17" t="str">
        <f t="shared" si="0"/>
        <v/>
      </c>
    </row>
    <row r="16" spans="1:9" x14ac:dyDescent="0.25">
      <c r="A16" s="34"/>
      <c r="B16" s="31"/>
      <c r="C16" s="32"/>
      <c r="D16" s="32"/>
      <c r="E16" s="33"/>
      <c r="F16" s="33"/>
      <c r="G16" s="5"/>
      <c r="H16" s="16"/>
      <c r="I16" s="17" t="str">
        <f t="shared" si="0"/>
        <v/>
      </c>
    </row>
    <row r="17" spans="1:9" x14ac:dyDescent="0.25">
      <c r="A17" s="34"/>
      <c r="B17" s="31"/>
      <c r="C17" s="32"/>
      <c r="D17" s="32"/>
      <c r="E17" s="33"/>
      <c r="F17" s="33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67.015038362047278</v>
      </c>
      <c r="B20" s="8">
        <f>COUNT(H3:H17)</f>
        <v>7</v>
      </c>
      <c r="C20" s="9">
        <f>IF(B20&lt;2,"n/a",(A20/D20))</f>
        <v>9.6357966242087881E-2</v>
      </c>
      <c r="D20" s="10">
        <f>IFERROR(ROUND(AVERAGE(H3:H17),2),"")</f>
        <v>695.48</v>
      </c>
      <c r="E20" s="15" t="str">
        <f>IFERROR(ROUND(IF(B20&lt;2,"n/a",(IF(C20&lt;=25%,"n/a",AVERAGE(I3:I17)))),2),"n/a")</f>
        <v>n/a</v>
      </c>
      <c r="F20" s="10">
        <f>IFERROR(ROUND(MEDIAN(H3:H17),2),"")</f>
        <v>683.88</v>
      </c>
      <c r="G20" s="11" t="str">
        <f>IFERROR(INDEX(G3:G17,MATCH(H20,H3:H17,0)),"")</f>
        <v>REDNOV FERRAMENTAS LTDA</v>
      </c>
      <c r="H20" s="12">
        <f>F3</f>
        <v>643.49</v>
      </c>
    </row>
    <row r="22" spans="1:9" x14ac:dyDescent="0.25">
      <c r="G22" s="13" t="s">
        <v>20</v>
      </c>
      <c r="H22" s="14">
        <f>IF(C20&lt;=25%,D20,MIN(E20:F20))</f>
        <v>695.48</v>
      </c>
    </row>
    <row r="23" spans="1:9" x14ac:dyDescent="0.25">
      <c r="G23" s="13" t="s">
        <v>6</v>
      </c>
      <c r="H23" s="14">
        <f>ROUND(H22,2)*D3</f>
        <v>20864.400000000001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4">
        <v>9</v>
      </c>
      <c r="B3" s="30" t="s">
        <v>42</v>
      </c>
      <c r="C3" s="32" t="s">
        <v>7</v>
      </c>
      <c r="D3" s="32">
        <f>(60+20)-Item36!D3</f>
        <v>60</v>
      </c>
      <c r="E3" s="33">
        <f>IF(C20&lt;=25%,D20,MIN(E20:F20))</f>
        <v>1217.93</v>
      </c>
      <c r="F3" s="33">
        <f>MIN(H3:H17)</f>
        <v>1034.48</v>
      </c>
      <c r="G3" s="5" t="s">
        <v>217</v>
      </c>
      <c r="H3" s="16">
        <v>1034.48</v>
      </c>
      <c r="I3" s="17" t="str">
        <f>IF(H3="","",(IF($C$20&lt;25%,"n/a",IF(H3&lt;=($D$20+$A$20),H3,"Descartado"))))</f>
        <v>n/a</v>
      </c>
    </row>
    <row r="4" spans="1:9" x14ac:dyDescent="0.25">
      <c r="A4" s="34"/>
      <c r="B4" s="31"/>
      <c r="C4" s="32"/>
      <c r="D4" s="32"/>
      <c r="E4" s="33"/>
      <c r="F4" s="33"/>
      <c r="G4" s="5" t="s">
        <v>112</v>
      </c>
      <c r="H4" s="16">
        <v>1197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4"/>
      <c r="B5" s="31"/>
      <c r="C5" s="32"/>
      <c r="D5" s="32"/>
      <c r="E5" s="33"/>
      <c r="F5" s="33"/>
      <c r="G5" s="5" t="s">
        <v>113</v>
      </c>
      <c r="H5" s="16">
        <v>1200</v>
      </c>
      <c r="I5" s="17" t="str">
        <f t="shared" si="0"/>
        <v>n/a</v>
      </c>
    </row>
    <row r="6" spans="1:9" x14ac:dyDescent="0.25">
      <c r="A6" s="34"/>
      <c r="B6" s="31"/>
      <c r="C6" s="32"/>
      <c r="D6" s="32"/>
      <c r="E6" s="33"/>
      <c r="F6" s="33"/>
      <c r="G6" s="5" t="s">
        <v>80</v>
      </c>
      <c r="H6" s="16">
        <v>1212</v>
      </c>
      <c r="I6" s="17" t="str">
        <f t="shared" si="0"/>
        <v>n/a</v>
      </c>
    </row>
    <row r="7" spans="1:9" x14ac:dyDescent="0.25">
      <c r="A7" s="34"/>
      <c r="B7" s="31"/>
      <c r="C7" s="32"/>
      <c r="D7" s="32"/>
      <c r="E7" s="33"/>
      <c r="F7" s="33"/>
      <c r="G7" s="5" t="s">
        <v>218</v>
      </c>
      <c r="H7" s="16">
        <v>1260</v>
      </c>
      <c r="I7" s="17" t="str">
        <f t="shared" si="0"/>
        <v>n/a</v>
      </c>
    </row>
    <row r="8" spans="1:9" x14ac:dyDescent="0.25">
      <c r="A8" s="34"/>
      <c r="B8" s="31"/>
      <c r="C8" s="32"/>
      <c r="D8" s="32"/>
      <c r="E8" s="33"/>
      <c r="F8" s="33"/>
      <c r="G8" s="5" t="s">
        <v>104</v>
      </c>
      <c r="H8" s="16">
        <v>1271.1300000000001</v>
      </c>
      <c r="I8" s="17" t="str">
        <f t="shared" si="0"/>
        <v>n/a</v>
      </c>
    </row>
    <row r="9" spans="1:9" x14ac:dyDescent="0.25">
      <c r="A9" s="34"/>
      <c r="B9" s="31"/>
      <c r="C9" s="32"/>
      <c r="D9" s="32"/>
      <c r="E9" s="33"/>
      <c r="F9" s="33"/>
      <c r="G9" s="5" t="s">
        <v>128</v>
      </c>
      <c r="H9" s="16">
        <v>1401.66</v>
      </c>
      <c r="I9" s="17" t="str">
        <f t="shared" si="0"/>
        <v>n/a</v>
      </c>
    </row>
    <row r="10" spans="1:9" x14ac:dyDescent="0.25">
      <c r="A10" s="34"/>
      <c r="B10" s="31"/>
      <c r="C10" s="32"/>
      <c r="D10" s="32"/>
      <c r="E10" s="33"/>
      <c r="F10" s="33"/>
      <c r="G10" s="5" t="s">
        <v>115</v>
      </c>
      <c r="H10" s="16">
        <v>1945</v>
      </c>
      <c r="I10" s="17" t="str">
        <f t="shared" si="0"/>
        <v>n/a</v>
      </c>
    </row>
    <row r="11" spans="1:9" x14ac:dyDescent="0.25">
      <c r="A11" s="34"/>
      <c r="B11" s="31"/>
      <c r="C11" s="32"/>
      <c r="D11" s="32"/>
      <c r="E11" s="33"/>
      <c r="F11" s="33"/>
      <c r="G11" s="5" t="s">
        <v>111</v>
      </c>
      <c r="H11" s="16">
        <v>1179.8499999999999</v>
      </c>
      <c r="I11" s="17" t="str">
        <f t="shared" si="0"/>
        <v>n/a</v>
      </c>
    </row>
    <row r="12" spans="1:9" x14ac:dyDescent="0.25">
      <c r="A12" s="34"/>
      <c r="B12" s="31"/>
      <c r="C12" s="32"/>
      <c r="D12" s="32"/>
      <c r="E12" s="33"/>
      <c r="F12" s="33"/>
      <c r="G12" s="5" t="s">
        <v>219</v>
      </c>
      <c r="H12" s="16">
        <v>1034.48</v>
      </c>
      <c r="I12" s="17" t="str">
        <f t="shared" si="0"/>
        <v>n/a</v>
      </c>
    </row>
    <row r="13" spans="1:9" x14ac:dyDescent="0.25">
      <c r="A13" s="34"/>
      <c r="B13" s="31"/>
      <c r="C13" s="32"/>
      <c r="D13" s="32"/>
      <c r="E13" s="33"/>
      <c r="F13" s="33"/>
      <c r="G13" s="5" t="s">
        <v>108</v>
      </c>
      <c r="H13" s="16">
        <v>1046.25</v>
      </c>
      <c r="I13" s="17" t="str">
        <f t="shared" si="0"/>
        <v>n/a</v>
      </c>
    </row>
    <row r="14" spans="1:9" x14ac:dyDescent="0.25">
      <c r="A14" s="34"/>
      <c r="B14" s="31"/>
      <c r="C14" s="32"/>
      <c r="D14" s="32"/>
      <c r="E14" s="33"/>
      <c r="F14" s="33"/>
      <c r="G14" s="5" t="s">
        <v>109</v>
      </c>
      <c r="H14" s="16">
        <v>1098</v>
      </c>
      <c r="I14" s="17" t="str">
        <f t="shared" si="0"/>
        <v>n/a</v>
      </c>
    </row>
    <row r="15" spans="1:9" x14ac:dyDescent="0.25">
      <c r="A15" s="34"/>
      <c r="B15" s="31"/>
      <c r="C15" s="32"/>
      <c r="D15" s="32"/>
      <c r="E15" s="33"/>
      <c r="F15" s="33"/>
      <c r="G15" s="5" t="s">
        <v>105</v>
      </c>
      <c r="H15" s="16">
        <v>1106.99</v>
      </c>
      <c r="I15" s="17" t="str">
        <f t="shared" si="0"/>
        <v>n/a</v>
      </c>
    </row>
    <row r="16" spans="1:9" x14ac:dyDescent="0.25">
      <c r="A16" s="34"/>
      <c r="B16" s="31"/>
      <c r="C16" s="32"/>
      <c r="D16" s="32"/>
      <c r="E16" s="33"/>
      <c r="F16" s="33"/>
      <c r="G16" s="5" t="s">
        <v>77</v>
      </c>
      <c r="H16" s="16">
        <v>1140</v>
      </c>
      <c r="I16" s="17" t="str">
        <f t="shared" si="0"/>
        <v>n/a</v>
      </c>
    </row>
    <row r="17" spans="1:9" x14ac:dyDescent="0.25">
      <c r="A17" s="34"/>
      <c r="B17" s="31"/>
      <c r="C17" s="32"/>
      <c r="D17" s="32"/>
      <c r="E17" s="33"/>
      <c r="F17" s="33"/>
      <c r="G17" s="5" t="s">
        <v>110</v>
      </c>
      <c r="H17" s="16">
        <v>1142.1300000000001</v>
      </c>
      <c r="I17" s="17" t="str">
        <f t="shared" si="0"/>
        <v>n/a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8" t="s">
        <v>19</v>
      </c>
      <c r="H19" s="28"/>
    </row>
    <row r="20" spans="1:9" x14ac:dyDescent="0.25">
      <c r="A20" s="8">
        <f>IF(B20&lt;2,"n/a",(_xlfn.STDEV.S(H3:H17)))</f>
        <v>224.32818187603965</v>
      </c>
      <c r="B20" s="8">
        <f>COUNT(H3:H17)</f>
        <v>15</v>
      </c>
      <c r="C20" s="9">
        <f>IF(B20&lt;2,"n/a",(A20/D20))</f>
        <v>0.18418807474652865</v>
      </c>
      <c r="D20" s="10">
        <f>IFERROR(ROUND(AVERAGE(H3:H17),2),"")</f>
        <v>1217.93</v>
      </c>
      <c r="E20" s="15" t="str">
        <f>IFERROR(ROUND(IF(B20&lt;2,"n/a",(IF(C20&lt;=25%,"n/a",AVERAGE(I3:I17)))),2),"n/a")</f>
        <v>n/a</v>
      </c>
      <c r="F20" s="10">
        <f>IFERROR(ROUND(MEDIAN(H3:H17),2),"")</f>
        <v>1179.8499999999999</v>
      </c>
      <c r="G20" s="11" t="str">
        <f>IFERROR(INDEX(G3:G17,MATCH(H20,H3:H17,0)),"")</f>
        <v>ACLARA COMERCIO DE INFORMATICA LTDA</v>
      </c>
      <c r="H20" s="12">
        <f>F3</f>
        <v>1034.48</v>
      </c>
    </row>
    <row r="22" spans="1:9" x14ac:dyDescent="0.25">
      <c r="G22" s="13" t="s">
        <v>20</v>
      </c>
      <c r="H22" s="14">
        <f>IF(C20&lt;=25%,D20,MIN(E20:F20))</f>
        <v>1217.93</v>
      </c>
    </row>
    <row r="23" spans="1:9" x14ac:dyDescent="0.25">
      <c r="G23" s="13" t="s">
        <v>6</v>
      </c>
      <c r="H23" s="14">
        <f>ROUND(H22,2)*D3</f>
        <v>73075.8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40</vt:i4>
      </vt:variant>
      <vt:variant>
        <vt:lpstr>Intervalos nomeados</vt:lpstr>
      </vt:variant>
      <vt:variant>
        <vt:i4>2</vt:i4>
      </vt:variant>
    </vt:vector>
  </HeadingPairs>
  <TitlesOfParts>
    <vt:vector size="42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Item40</vt:lpstr>
      <vt:lpstr>Item41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Marta de Almeida Santos</cp:lastModifiedBy>
  <cp:lastPrinted>2024-07-22T17:04:55Z</cp:lastPrinted>
  <dcterms:created xsi:type="dcterms:W3CDTF">2023-11-07T17:10:34Z</dcterms:created>
  <dcterms:modified xsi:type="dcterms:W3CDTF">2024-07-22T17:06:19Z</dcterms:modified>
</cp:coreProperties>
</file>